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https://d.docs.live.net/9cb999af7e61fd5f/Documents/"/>
    </mc:Choice>
  </mc:AlternateContent>
  <xr:revisionPtr revIDLastSave="1288" documentId="8_{20DAED20-89CF-434F-BC80-846212099383}" xr6:coauthVersionLast="46" xr6:coauthVersionMax="46" xr10:uidLastSave="{37EE78B6-7354-D34A-9A82-03F5AC3F3BAB}"/>
  <bookViews>
    <workbookView xWindow="0" yWindow="460" windowWidth="33600" windowHeight="19760" xr2:uid="{29192488-643C-D34A-B0A3-B2D3601714D7}"/>
  </bookViews>
  <sheets>
    <sheet name="Index" sheetId="1" r:id="rId1"/>
    <sheet name="GINIposttax" sheetId="2" r:id="rId2"/>
    <sheet name="GINIpretax" sheetId="3" r:id="rId3"/>
    <sheet name="HHConsumption" sheetId="7" r:id="rId4"/>
    <sheet name="HDI" sheetId="6" r:id="rId5"/>
    <sheet name="IncomeShareTop1pct" sheetId="8" r:id="rId6"/>
    <sheet name="GDPSocialSpending" sheetId="10" r:id="rId7"/>
    <sheet name="PovertyRate" sheetId="9" r:id="rId8"/>
    <sheet name="RealGDP2010USD" sheetId="4" r:id="rId9"/>
    <sheet name="RealGDP2011USD" sheetId="5" r:id="rId10"/>
    <sheet name="RealGDPChina" sheetId="54" r:id="rId11"/>
    <sheet name="RealGDPDepression" sheetId="53" r:id="rId12"/>
    <sheet name="RealGDPVietnam" sheetId="55" r:id="rId13"/>
    <sheet name="ShadowEconomyMIMIC" sheetId="11" r:id="rId14"/>
    <sheet name="ShadowEconomyNIPA" sheetId="12" r:id="rId15"/>
    <sheet name="DeathRate" sheetId="13" r:id="rId16"/>
    <sheet name="FertilityRate" sheetId="16" r:id="rId17"/>
    <sheet name="AlcoholUse" sheetId="48" r:id="rId18"/>
    <sheet name="HistLifeExpectancy" sheetId="52" r:id="rId19"/>
    <sheet name="HomicideRate" sheetId="14" r:id="rId20"/>
    <sheet name="LifeExpectancy" sheetId="17" r:id="rId21"/>
    <sheet name="Migration" sheetId="18" r:id="rId22"/>
    <sheet name="HomicideNumber" sheetId="15" r:id="rId23"/>
    <sheet name="PopulationMPD" sheetId="20" r:id="rId24"/>
    <sheet name="PopulationWB" sheetId="19" r:id="rId25"/>
    <sheet name="CPI" sheetId="38" r:id="rId26"/>
    <sheet name="EconomyCBOS" sheetId="33" r:id="rId27"/>
    <sheet name="PoliticalSituationCBOS" sheetId="34" r:id="rId28"/>
    <sheet name="FamSituation" sheetId="47" r:id="rId29"/>
    <sheet name="FutureHousehold" sheetId="49" r:id="rId30"/>
    <sheet name="GovJob" sheetId="37" r:id="rId31"/>
    <sheet name="GovLivingStandard" sheetId="35" r:id="rId32"/>
    <sheet name="GovMaxIncome" sheetId="36" r:id="rId33"/>
    <sheet name="LackClothing" sheetId="23" r:id="rId34"/>
    <sheet name="LackFood" sheetId="21" r:id="rId35"/>
    <sheet name="LackHeating" sheetId="22" r:id="rId36"/>
    <sheet name="LifeSatisfactionEBRD" sheetId="29" r:id="rId37"/>
    <sheet name="LifeSatisfactionEB" sheetId="45" r:id="rId38"/>
    <sheet name="LifeSatisfactionPew" sheetId="25" r:id="rId39"/>
    <sheet name="LifeSatisfactionRLMS" sheetId="46" r:id="rId40"/>
    <sheet name="InequalityPerception" sheetId="39" r:id="rId41"/>
    <sheet name="ThingsGoingPew" sheetId="43" r:id="rId42"/>
    <sheet name="TrustEBRD" sheetId="32" r:id="rId43"/>
    <sheet name="TrustWVS" sheetId="42" r:id="rId44"/>
    <sheet name="DemocracyEBRD" sheetId="30" r:id="rId45"/>
    <sheet name="DemocracyEB" sheetId="40" r:id="rId46"/>
    <sheet name="DemocracyNEB" sheetId="50" r:id="rId47"/>
    <sheet name="DemocracyPew" sheetId="26" r:id="rId48"/>
    <sheet name="MarketsEBRD" sheetId="31" r:id="rId49"/>
    <sheet name="MarketsEB" sheetId="41" r:id="rId50"/>
    <sheet name="MarketsNEB" sheetId="51" r:id="rId51"/>
    <sheet name="MarketsPew" sheetId="27" r:id="rId52"/>
    <sheet name="SupportCommunism" sheetId="24" r:id="rId53"/>
    <sheet name="OrdinaryPew" sheetId="28" r:id="rId54"/>
    <sheet name="WorldHappinessRanking" sheetId="44" r:id="rId5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55" l="1"/>
  <c r="D1" i="55" s="1"/>
  <c r="E1" i="55" s="1"/>
  <c r="F1" i="55" s="1"/>
  <c r="G1" i="55" s="1"/>
  <c r="H1" i="55" s="1"/>
  <c r="I1" i="55" s="1"/>
  <c r="J1" i="55" s="1"/>
  <c r="K1" i="55" s="1"/>
  <c r="L1" i="55" s="1"/>
  <c r="M1" i="55" s="1"/>
  <c r="N1" i="55" s="1"/>
  <c r="O1" i="55" s="1"/>
  <c r="P1" i="55" s="1"/>
  <c r="Q1" i="55" s="1"/>
  <c r="R1" i="55" s="1"/>
  <c r="S1" i="55" s="1"/>
  <c r="T1" i="55" s="1"/>
  <c r="U1" i="55" s="1"/>
  <c r="V1" i="55" s="1"/>
  <c r="W1" i="55" s="1"/>
  <c r="X1" i="55" s="1"/>
  <c r="Y1" i="55" s="1"/>
  <c r="Z1" i="55" s="1"/>
  <c r="AA1" i="55" s="1"/>
  <c r="AB1" i="55" s="1"/>
  <c r="AC1" i="55" s="1"/>
  <c r="C1" i="54"/>
  <c r="D1" i="54" s="1"/>
  <c r="E1" i="54" s="1"/>
  <c r="F1" i="54" s="1"/>
  <c r="G1" i="54" s="1"/>
  <c r="H1" i="54" s="1"/>
  <c r="I1" i="54" s="1"/>
  <c r="J1" i="54" s="1"/>
  <c r="K1" i="54" s="1"/>
  <c r="L1" i="54" s="1"/>
  <c r="M1" i="54" s="1"/>
  <c r="N1" i="54" s="1"/>
  <c r="O1" i="54" s="1"/>
  <c r="P1" i="54" s="1"/>
  <c r="Q1" i="54" s="1"/>
  <c r="R1" i="54" s="1"/>
  <c r="S1" i="54" s="1"/>
  <c r="T1" i="54" s="1"/>
  <c r="U1" i="54" s="1"/>
  <c r="V1" i="54" s="1"/>
  <c r="W1" i="54" s="1"/>
  <c r="X1" i="54" s="1"/>
  <c r="Y1" i="54" s="1"/>
  <c r="Z1" i="54" s="1"/>
  <c r="AA1" i="54" s="1"/>
  <c r="AB1" i="54" s="1"/>
  <c r="AC1" i="54" s="1"/>
  <c r="C1" i="52" l="1"/>
  <c r="D1" i="52" s="1"/>
  <c r="E1" i="52" s="1"/>
  <c r="F1" i="52" s="1"/>
  <c r="G1" i="52" s="1"/>
  <c r="H1" i="52" s="1"/>
  <c r="I1" i="52" s="1"/>
  <c r="J1" i="52" s="1"/>
  <c r="K1" i="52" s="1"/>
  <c r="L1" i="52" s="1"/>
  <c r="M1" i="52" s="1"/>
  <c r="N1" i="52" s="1"/>
  <c r="O1" i="52" s="1"/>
  <c r="P1" i="52" s="1"/>
  <c r="Q1" i="52" s="1"/>
  <c r="R1" i="52" s="1"/>
  <c r="S1" i="52" s="1"/>
  <c r="T1" i="52" s="1"/>
  <c r="U1" i="52" s="1"/>
  <c r="V1" i="52" s="1"/>
  <c r="W1" i="52" s="1"/>
  <c r="X1" i="52" s="1"/>
  <c r="Y1" i="52" s="1"/>
  <c r="Z1" i="52" s="1"/>
  <c r="AA1" i="52" s="1"/>
  <c r="AB1" i="52" s="1"/>
  <c r="AC1" i="52" s="1"/>
  <c r="AD1" i="52" s="1"/>
  <c r="AE1" i="52" s="1"/>
  <c r="AF1" i="52" s="1"/>
  <c r="AG1" i="52" s="1"/>
  <c r="AH1" i="52" s="1"/>
  <c r="AI1" i="52" s="1"/>
  <c r="AJ1" i="52" s="1"/>
  <c r="AK1" i="52" s="1"/>
  <c r="AL1" i="52" s="1"/>
  <c r="AM1" i="52" s="1"/>
  <c r="AN1" i="52" s="1"/>
  <c r="AO1" i="52" s="1"/>
  <c r="AP1" i="52" s="1"/>
  <c r="AQ1" i="52" s="1"/>
  <c r="AR1" i="52" s="1"/>
  <c r="AS1" i="52" s="1"/>
  <c r="AT1" i="52" s="1"/>
  <c r="AU1" i="52" s="1"/>
  <c r="AV1" i="52" s="1"/>
  <c r="AW1" i="52" s="1"/>
  <c r="AX1" i="52" s="1"/>
  <c r="AY1" i="52" s="1"/>
  <c r="AZ1" i="52" s="1"/>
  <c r="BA1" i="52" s="1"/>
  <c r="BB1" i="52" s="1"/>
  <c r="BC1" i="52" s="1"/>
  <c r="BD1" i="52" s="1"/>
  <c r="BE1" i="52" s="1"/>
  <c r="BF1" i="52" s="1"/>
  <c r="BG1" i="52" s="1"/>
  <c r="BH1" i="52" s="1"/>
  <c r="BI1" i="52" s="1"/>
  <c r="BJ1" i="52" s="1"/>
  <c r="BK1" i="52" s="1"/>
  <c r="BL1" i="52" s="1"/>
  <c r="BM1" i="52" s="1"/>
  <c r="BN1" i="52" s="1"/>
  <c r="BO1" i="52" s="1"/>
  <c r="BP1" i="52" s="1"/>
  <c r="BQ1" i="52" s="1"/>
  <c r="BR1" i="52" s="1"/>
  <c r="BS1" i="52" s="1"/>
  <c r="BT1" i="52" s="1"/>
  <c r="BU1" i="52" s="1"/>
  <c r="BV1" i="52" s="1"/>
  <c r="BW1" i="52" s="1"/>
  <c r="BX1" i="52" s="1"/>
  <c r="BY1" i="52" s="1"/>
  <c r="BZ1" i="52" s="1"/>
  <c r="CA1" i="52" s="1"/>
  <c r="CB1" i="52" s="1"/>
  <c r="CC1" i="52" s="1"/>
  <c r="CD1" i="52" s="1"/>
  <c r="CE1" i="52" s="1"/>
  <c r="CF1" i="52" s="1"/>
  <c r="CG1" i="52" s="1"/>
  <c r="CH1" i="52" s="1"/>
  <c r="CI1" i="52" s="1"/>
  <c r="CJ1" i="52" s="1"/>
  <c r="CK1" i="52" s="1"/>
  <c r="CL1" i="52" s="1"/>
  <c r="CM1" i="52" s="1"/>
  <c r="CN1" i="52" s="1"/>
  <c r="CO1" i="52" s="1"/>
  <c r="CP1" i="52" s="1"/>
  <c r="CQ1" i="52" s="1"/>
  <c r="CR1" i="52" s="1"/>
  <c r="CS1" i="52" s="1"/>
  <c r="CT1" i="52" s="1"/>
  <c r="CU1" i="52" s="1"/>
  <c r="CV1" i="52" s="1"/>
  <c r="CW1" i="52" s="1"/>
  <c r="CX1" i="52" s="1"/>
  <c r="O11" i="50" l="1"/>
  <c r="L11" i="50"/>
  <c r="K11" i="50"/>
  <c r="G11" i="50"/>
  <c r="F11" i="50"/>
  <c r="D11" i="50"/>
  <c r="O10" i="50"/>
  <c r="L10" i="50"/>
  <c r="K10" i="50"/>
  <c r="G10" i="50"/>
  <c r="F10" i="50"/>
  <c r="D10" i="50"/>
  <c r="O8" i="50"/>
  <c r="L8" i="50"/>
  <c r="K8" i="50"/>
  <c r="G8" i="50"/>
  <c r="F8" i="50"/>
  <c r="D8" i="50"/>
  <c r="O3" i="50"/>
  <c r="AC23" i="49"/>
  <c r="AB23" i="49"/>
  <c r="AA23" i="49"/>
  <c r="Z23" i="49"/>
  <c r="Y23" i="49"/>
  <c r="X23" i="49"/>
  <c r="V23" i="49"/>
  <c r="U23" i="49"/>
  <c r="T23" i="49"/>
  <c r="S23" i="49"/>
  <c r="R23" i="49"/>
  <c r="Q23" i="49"/>
  <c r="P23" i="49"/>
  <c r="AC22" i="49"/>
  <c r="AB22" i="49"/>
  <c r="AA22" i="49"/>
  <c r="Z22" i="49"/>
  <c r="Y22" i="49"/>
  <c r="X22" i="49"/>
  <c r="V22" i="49"/>
  <c r="U22" i="49"/>
  <c r="T22" i="49"/>
  <c r="S22" i="49"/>
  <c r="R22" i="49"/>
  <c r="Q22" i="49"/>
  <c r="P22" i="49"/>
  <c r="AC20" i="49"/>
  <c r="AB20" i="49"/>
  <c r="AA20" i="49"/>
  <c r="Z20" i="49"/>
  <c r="Y20" i="49"/>
  <c r="X20" i="49"/>
  <c r="AC18" i="49"/>
  <c r="AB18" i="49"/>
  <c r="AA18" i="49"/>
  <c r="Z18" i="49"/>
  <c r="Y18" i="49"/>
  <c r="X18" i="49"/>
  <c r="V18" i="49"/>
  <c r="U18" i="49"/>
  <c r="T18" i="49"/>
  <c r="S18" i="49"/>
  <c r="R18" i="49"/>
  <c r="Q18" i="49"/>
  <c r="P18" i="49"/>
  <c r="AC17" i="49"/>
  <c r="AB17" i="49"/>
  <c r="AA17" i="49"/>
  <c r="Z17" i="49"/>
  <c r="Y17" i="49"/>
  <c r="X17" i="49"/>
  <c r="V17" i="49"/>
  <c r="U17" i="49"/>
  <c r="T17" i="49"/>
  <c r="S17" i="49"/>
  <c r="R17" i="49"/>
  <c r="Q17" i="49"/>
  <c r="P17" i="49"/>
  <c r="AC16" i="49"/>
  <c r="AB16" i="49"/>
  <c r="AA16" i="49"/>
  <c r="Z16" i="49"/>
  <c r="Y16" i="49"/>
  <c r="X16" i="49"/>
  <c r="AC14" i="49"/>
  <c r="AB14" i="49"/>
  <c r="AA14" i="49"/>
  <c r="Z14" i="49"/>
  <c r="Y14" i="49"/>
  <c r="X14" i="49"/>
  <c r="V14" i="49"/>
  <c r="U14" i="49"/>
  <c r="T14" i="49"/>
  <c r="AC13" i="49"/>
  <c r="AB13" i="49"/>
  <c r="AA13" i="49"/>
  <c r="Z13" i="49"/>
  <c r="Y13" i="49"/>
  <c r="X13" i="49"/>
  <c r="V13" i="49"/>
  <c r="U13" i="49"/>
  <c r="T13" i="49"/>
  <c r="S13" i="49"/>
  <c r="R13" i="49"/>
  <c r="Q13" i="49"/>
  <c r="P13" i="49"/>
  <c r="AC12" i="49"/>
  <c r="AB12" i="49"/>
  <c r="AA12" i="49"/>
  <c r="Z12" i="49"/>
  <c r="Y12" i="49"/>
  <c r="X12" i="49"/>
  <c r="V12" i="49"/>
  <c r="U12" i="49"/>
  <c r="T12" i="49"/>
  <c r="S12" i="49"/>
  <c r="R12" i="49"/>
  <c r="Q12" i="49"/>
  <c r="P12" i="49"/>
  <c r="AC10" i="49"/>
  <c r="AB10" i="49"/>
  <c r="AA10" i="49"/>
  <c r="Z10" i="49"/>
  <c r="Y10" i="49"/>
  <c r="X10" i="49"/>
  <c r="V10" i="49"/>
  <c r="U10" i="49"/>
  <c r="T10" i="49"/>
  <c r="S10" i="49"/>
  <c r="R10" i="49"/>
  <c r="Q10" i="49"/>
  <c r="P10" i="49"/>
  <c r="AC8" i="49"/>
  <c r="AB8" i="49"/>
  <c r="AA8" i="49"/>
  <c r="Z8" i="49"/>
  <c r="Y8" i="49"/>
  <c r="X8" i="49"/>
  <c r="V8" i="49"/>
  <c r="U8" i="49"/>
  <c r="T8" i="49"/>
  <c r="S8" i="49"/>
  <c r="R8" i="49"/>
  <c r="Q8" i="49"/>
  <c r="P8" i="49"/>
  <c r="AC7" i="49"/>
  <c r="AB7" i="49"/>
  <c r="AA7" i="49"/>
  <c r="Z7" i="49"/>
  <c r="Y7" i="49"/>
  <c r="X7" i="49"/>
  <c r="V7" i="49"/>
  <c r="U7" i="49"/>
  <c r="T7" i="49"/>
  <c r="S7" i="49"/>
  <c r="R7" i="49"/>
  <c r="Q7" i="49"/>
  <c r="P7" i="49"/>
  <c r="AC6" i="49"/>
  <c r="AB6" i="49"/>
  <c r="AA6" i="49"/>
  <c r="Z6" i="49"/>
  <c r="Y6" i="49"/>
  <c r="X6" i="49"/>
  <c r="V6" i="49"/>
  <c r="U6" i="49"/>
  <c r="T6" i="49"/>
  <c r="S6" i="49"/>
  <c r="R6" i="49"/>
  <c r="Q6" i="49"/>
  <c r="AC5" i="49"/>
  <c r="AB5" i="49"/>
  <c r="AA5" i="49"/>
  <c r="Z5" i="49"/>
  <c r="Y5" i="49"/>
  <c r="X5" i="49"/>
  <c r="V5" i="49"/>
  <c r="U5" i="49"/>
  <c r="T5" i="49"/>
  <c r="S5" i="49"/>
  <c r="R5" i="49"/>
  <c r="Q5" i="49"/>
  <c r="P5" i="49"/>
  <c r="AC2" i="49"/>
  <c r="AB2" i="49"/>
  <c r="AA2" i="49"/>
  <c r="O10" i="47" l="1"/>
  <c r="L10" i="47"/>
  <c r="K10" i="47"/>
  <c r="G10" i="47"/>
  <c r="F10" i="47"/>
  <c r="D10" i="47"/>
  <c r="O9" i="47"/>
  <c r="L9" i="47"/>
  <c r="K9" i="47"/>
  <c r="G9" i="47"/>
  <c r="F9" i="47"/>
  <c r="D9" i="47"/>
  <c r="O7" i="47"/>
  <c r="L7" i="47"/>
  <c r="K7" i="47"/>
  <c r="G7" i="47"/>
  <c r="F7" i="47"/>
  <c r="D7" i="47"/>
  <c r="X2" i="46"/>
  <c r="W2" i="46"/>
  <c r="V2" i="46"/>
  <c r="U2" i="46"/>
  <c r="T2" i="46"/>
  <c r="S2" i="46"/>
  <c r="R2" i="46"/>
  <c r="Q2" i="46"/>
  <c r="P2" i="46"/>
  <c r="O2" i="46"/>
  <c r="N2" i="46"/>
  <c r="M2" i="46"/>
  <c r="L2" i="46"/>
  <c r="K2" i="46"/>
  <c r="J2" i="46"/>
  <c r="I2" i="46"/>
  <c r="H2" i="46"/>
  <c r="F2" i="46"/>
  <c r="D2" i="46"/>
  <c r="C2" i="46"/>
  <c r="B2" i="46"/>
  <c r="AC21" i="40"/>
  <c r="AB21" i="40"/>
  <c r="AA21" i="40"/>
  <c r="Z21" i="40"/>
  <c r="Y21" i="40"/>
  <c r="X21" i="40"/>
  <c r="O21" i="40"/>
  <c r="AC20" i="40"/>
  <c r="AB20" i="40"/>
  <c r="AA20" i="40"/>
  <c r="Z20" i="40"/>
  <c r="Y20" i="40"/>
  <c r="X20" i="40"/>
  <c r="O20" i="40"/>
  <c r="AC17" i="40"/>
  <c r="AB17" i="40"/>
  <c r="AA17" i="40"/>
  <c r="Z17" i="40"/>
  <c r="Y17" i="40"/>
  <c r="X17" i="40"/>
  <c r="O17" i="40"/>
  <c r="AC16" i="40"/>
  <c r="AB16" i="40"/>
  <c r="AA16" i="40"/>
  <c r="Z16" i="40"/>
  <c r="Y16" i="40"/>
  <c r="X16" i="40"/>
  <c r="O16" i="40"/>
  <c r="AC13" i="40"/>
  <c r="AB13" i="40"/>
  <c r="AA13" i="40"/>
  <c r="Z13" i="40"/>
  <c r="Y13" i="40"/>
  <c r="X13" i="40"/>
  <c r="O13" i="40"/>
  <c r="AC12" i="40"/>
  <c r="AB12" i="40"/>
  <c r="AA12" i="40"/>
  <c r="Z12" i="40"/>
  <c r="Y12" i="40"/>
  <c r="X12" i="40"/>
  <c r="O12" i="40"/>
  <c r="AC10" i="40"/>
  <c r="AB10" i="40"/>
  <c r="AA10" i="40"/>
  <c r="Z10" i="40"/>
  <c r="Y10" i="40"/>
  <c r="X10" i="40"/>
  <c r="O10" i="40"/>
  <c r="AC8" i="40"/>
  <c r="AB8" i="40"/>
  <c r="AA8" i="40"/>
  <c r="Z8" i="40"/>
  <c r="Y8" i="40"/>
  <c r="X8" i="40"/>
  <c r="O8" i="40"/>
  <c r="AC7" i="40"/>
  <c r="AB7" i="40"/>
  <c r="AA7" i="40"/>
  <c r="Z7" i="40"/>
  <c r="Y7" i="40"/>
  <c r="X7" i="40"/>
  <c r="O7" i="40"/>
  <c r="AC6" i="40"/>
  <c r="AB6" i="40"/>
  <c r="AA6" i="40"/>
  <c r="Z6" i="40"/>
  <c r="Y6" i="40"/>
  <c r="AC5" i="40"/>
  <c r="AB5" i="40"/>
  <c r="AA5" i="40"/>
  <c r="Z5" i="40"/>
  <c r="Y5" i="40"/>
  <c r="X5" i="40"/>
  <c r="O5" i="40"/>
  <c r="AE2" i="34"/>
  <c r="AD2" i="34"/>
  <c r="AC2" i="34"/>
  <c r="AB2" i="34"/>
  <c r="AA2" i="34"/>
  <c r="Z2" i="34"/>
  <c r="Y2" i="34"/>
  <c r="X2" i="34"/>
  <c r="W2" i="34"/>
  <c r="V2" i="34"/>
  <c r="U2" i="34"/>
  <c r="T2" i="34"/>
  <c r="S2" i="34"/>
  <c r="R2" i="34"/>
  <c r="Q2" i="34"/>
  <c r="P2" i="34"/>
  <c r="O2" i="34"/>
  <c r="N2" i="34"/>
  <c r="M2" i="34"/>
  <c r="L2" i="34"/>
  <c r="K2" i="34"/>
  <c r="J2" i="34"/>
  <c r="I2" i="34"/>
  <c r="H2" i="34"/>
  <c r="G2" i="34"/>
  <c r="F2" i="34"/>
  <c r="E2" i="34"/>
  <c r="D2" i="34"/>
  <c r="C2" i="34"/>
  <c r="B2" i="34"/>
  <c r="AE2" i="33"/>
  <c r="AD2" i="33"/>
  <c r="AC2" i="33"/>
  <c r="AB2" i="33"/>
  <c r="AA2" i="33"/>
  <c r="Z2" i="33"/>
  <c r="Y2" i="33"/>
  <c r="X2" i="33"/>
  <c r="W2" i="33"/>
  <c r="V2" i="33"/>
  <c r="U2" i="33"/>
  <c r="T2" i="33"/>
  <c r="S2" i="33"/>
  <c r="R2" i="33"/>
  <c r="Q2" i="33"/>
  <c r="P2" i="33"/>
  <c r="O2" i="33"/>
  <c r="N2" i="33"/>
  <c r="M2" i="33"/>
  <c r="L2" i="33"/>
  <c r="K2" i="33"/>
  <c r="J2" i="33"/>
  <c r="I2" i="33"/>
  <c r="H2" i="33"/>
  <c r="G2" i="33"/>
  <c r="F2" i="33"/>
  <c r="E2" i="33"/>
  <c r="D2" i="33"/>
  <c r="C2" i="33"/>
  <c r="B2" i="33"/>
  <c r="B9" i="22" l="1"/>
  <c r="B8" i="22"/>
  <c r="B6" i="22"/>
  <c r="B9" i="21"/>
  <c r="B8" i="21"/>
  <c r="B6" i="21"/>
</calcChain>
</file>

<file path=xl/sharedStrings.xml><?xml version="1.0" encoding="utf-8"?>
<sst xmlns="http://schemas.openxmlformats.org/spreadsheetml/2006/main" count="1314" uniqueCount="274">
  <si>
    <t>Years</t>
  </si>
  <si>
    <t>Source</t>
  </si>
  <si>
    <t>1985-2019</t>
  </si>
  <si>
    <t>Belarus</t>
  </si>
  <si>
    <t>Slovakia</t>
  </si>
  <si>
    <t>Czech Republic</t>
  </si>
  <si>
    <t>Slovenia</t>
  </si>
  <si>
    <t>Kazakhstan</t>
  </si>
  <si>
    <t>Ukraine</t>
  </si>
  <si>
    <t>Hungary</t>
  </si>
  <si>
    <t>Kosovo</t>
  </si>
  <si>
    <t>Poland</t>
  </si>
  <si>
    <t>Croatia</t>
  </si>
  <si>
    <t>Estonia</t>
  </si>
  <si>
    <t>Kyrgyzstan</t>
  </si>
  <si>
    <t>Macedonia</t>
  </si>
  <si>
    <t>Moldova</t>
  </si>
  <si>
    <t>Romania</t>
  </si>
  <si>
    <t>Russia</t>
  </si>
  <si>
    <t>Serbia</t>
  </si>
  <si>
    <t>Latvia</t>
  </si>
  <si>
    <t>Lithuania</t>
  </si>
  <si>
    <t>Bulgaria</t>
  </si>
  <si>
    <t>Armenia</t>
  </si>
  <si>
    <t>Montenegro</t>
  </si>
  <si>
    <t>Bosnia and Herzegovina</t>
  </si>
  <si>
    <t>Georgia</t>
  </si>
  <si>
    <t>Albania</t>
  </si>
  <si>
    <t>Tajikistan</t>
  </si>
  <si>
    <t>Azerbaijan</t>
  </si>
  <si>
    <t>Czechoslovakia</t>
  </si>
  <si>
    <t>Soviet Union</t>
  </si>
  <si>
    <t>Turkmenistan</t>
  </si>
  <si>
    <t>Uzbekistan</t>
  </si>
  <si>
    <t>Yugoslavia</t>
  </si>
  <si>
    <t>1980-2016</t>
  </si>
  <si>
    <t>Bosnia-Herzegovina</t>
  </si>
  <si>
    <t>Czechia</t>
  </si>
  <si>
    <t>Russian Federation</t>
  </si>
  <si>
    <t>Serbia and Montenegro</t>
  </si>
  <si>
    <t>Socialist Federal Republic of Yugoslavia</t>
  </si>
  <si>
    <t>USSR</t>
  </si>
  <si>
    <t>1989-2016</t>
  </si>
  <si>
    <t>1990-2015</t>
  </si>
  <si>
    <t>1970-2016</t>
  </si>
  <si>
    <t>Economics</t>
  </si>
  <si>
    <t>INDEX</t>
  </si>
  <si>
    <t xml:space="preserve">     GINI coefficient (after taxes and transfers)</t>
  </si>
  <si>
    <t xml:space="preserve">     GINI coefficient (before taxes and transfers)</t>
  </si>
  <si>
    <t xml:space="preserve">     Real GDP per capita (2010 USD)</t>
  </si>
  <si>
    <t xml:space="preserve">     Real GDP per capita (2011 USD, 2011 benchmark (suitable for cross-country growth comparisons))</t>
  </si>
  <si>
    <t xml:space="preserve">     Household consumption expenditure (including NPISH) (real 2010 USD)</t>
  </si>
  <si>
    <t xml:space="preserve">     Human Development Index</t>
  </si>
  <si>
    <t>1980-2017</t>
  </si>
  <si>
    <t>Kyrgyz Republic</t>
  </si>
  <si>
    <t>North Macedonia</t>
  </si>
  <si>
    <t>Slovak Republic</t>
  </si>
  <si>
    <t>1987-2016</t>
  </si>
  <si>
    <t>1990-2016</t>
  </si>
  <si>
    <t>1991-2015</t>
  </si>
  <si>
    <t xml:space="preserve">     Income share held by the highest 1%</t>
  </si>
  <si>
    <t xml:space="preserve">     Poverty headcount ratio at $5.50 a day (2011 PPP) (% of population)</t>
  </si>
  <si>
    <t xml:space="preserve">     Percent of nominal GDP spent on "Housing" and "Social Protection"</t>
  </si>
  <si>
    <t xml:space="preserve">     Shadow economy as a percent of official GDP (Multiple Indicators Multiple Causes - MIMIC)</t>
  </si>
  <si>
    <t>Sheet</t>
  </si>
  <si>
    <t>GINIposttax</t>
  </si>
  <si>
    <t>GINIpretax</t>
  </si>
  <si>
    <t>RealGDP2010USD</t>
  </si>
  <si>
    <t>RealGDP2011USD</t>
  </si>
  <si>
    <t>HDI</t>
  </si>
  <si>
    <t>HHConsumption</t>
  </si>
  <si>
    <t>IncomeShareTop1pct</t>
  </si>
  <si>
    <t>PovertyRate</t>
  </si>
  <si>
    <t>GDPSocialSpending</t>
  </si>
  <si>
    <t>ShadowEconomyMIMIC</t>
  </si>
  <si>
    <t xml:space="preserve">     Shadow economy as a percent of official GDP (NIPA)</t>
  </si>
  <si>
    <t>ShadowEconomyNIPA</t>
  </si>
  <si>
    <t>1990-2000</t>
  </si>
  <si>
    <t>Survey</t>
  </si>
  <si>
    <t>Panel data series</t>
  </si>
  <si>
    <t xml:space="preserve">     Crude death rate (per 1,000 people)</t>
  </si>
  <si>
    <t>DeathRate</t>
  </si>
  <si>
    <t xml:space="preserve">     Homicide rate (per 100,000 people)</t>
  </si>
  <si>
    <t>HomicideRate</t>
  </si>
  <si>
    <t>1990-2018</t>
  </si>
  <si>
    <t xml:space="preserve">     Number of homicides</t>
  </si>
  <si>
    <t>HomicideNumber</t>
  </si>
  <si>
    <t xml:space="preserve">     Fertility rate, total (births per woman)</t>
  </si>
  <si>
    <t>FertilityRate</t>
  </si>
  <si>
    <t xml:space="preserve">     Life expectancy at birth, total (years)</t>
  </si>
  <si>
    <t>LifeExpectancy</t>
  </si>
  <si>
    <t xml:space="preserve">     Net migration rate (per 1,000 population)</t>
  </si>
  <si>
    <t>Migration</t>
  </si>
  <si>
    <t>1972-2012</t>
  </si>
  <si>
    <t>Serbia (including Kosovo)</t>
  </si>
  <si>
    <t xml:space="preserve">     Total population</t>
  </si>
  <si>
    <t>PopulationWB</t>
  </si>
  <si>
    <t>1970-2018</t>
  </si>
  <si>
    <t xml:space="preserve">     Population, mid-year (thousands)</t>
  </si>
  <si>
    <t>PopulationMPD</t>
  </si>
  <si>
    <t>LackFood</t>
  </si>
  <si>
    <t>1995-2002</t>
  </si>
  <si>
    <t>LackHeating</t>
  </si>
  <si>
    <t>LackClothing</t>
  </si>
  <si>
    <t>Survey question</t>
  </si>
  <si>
    <t>Sometimes people have to do without things that people usually have. In the past year has your household sometimes had to do without any of the following? (% often, sometimes lacking food)</t>
  </si>
  <si>
    <t>Sometimes people have to do without things that people usually have. In the past year has your household sometimes had to do without any of the following? (% often, sometimes lacking heating/electricity)</t>
  </si>
  <si>
    <t>Sometimes people have to do without things that people usually have. In the past year has your household sometimes had to do without any of the following? (% often, sometimes lacking clothing)</t>
  </si>
  <si>
    <t xml:space="preserve">     Lacking basic necessities: food</t>
  </si>
  <si>
    <t xml:space="preserve">     Lacking basic necessities: heating/electricity</t>
  </si>
  <si>
    <t xml:space="preserve">     Lacking basic necessities: clothing</t>
  </si>
  <si>
    <t xml:space="preserve">     Support for return to Communist rule</t>
  </si>
  <si>
    <t>SupportCommunism</t>
  </si>
  <si>
    <t>1993-2001</t>
  </si>
  <si>
    <r>
      <t xml:space="preserve">Joakim Ekman and Jonas Linde, “Communist Nostalgia and the Consolidation of Democracy in Central and Eastern Europe,” </t>
    </r>
    <r>
      <rPr>
        <i/>
        <sz val="12"/>
        <color theme="1"/>
        <rFont val="Calibri"/>
        <family val="2"/>
      </rPr>
      <t xml:space="preserve">Journal of Communist Studies and Transition Politics </t>
    </r>
    <r>
      <rPr>
        <sz val="12"/>
        <color theme="1"/>
        <rFont val="Calibri"/>
        <family val="2"/>
      </rPr>
      <t xml:space="preserve">21, no. 3 (2005): 354-374, doi: 10.1080/13523270500183512. </t>
    </r>
  </si>
  <si>
    <t>Our present system of government is not the only one that this country had. Some people say that we would be better off if the country was governed differently. What do you think? (% who agreed with “return to communist rule”)</t>
  </si>
  <si>
    <t xml:space="preserve">     Life satisfaction: Pew</t>
  </si>
  <si>
    <t>% who say 7-10 on a ladder of life where the top of the ladder represents the best possible life (10) and the bottom the worst possible life (0)</t>
  </si>
  <si>
    <t>LifeSatisfactionPew</t>
  </si>
  <si>
    <t>1991-2019</t>
  </si>
  <si>
    <t>GDR</t>
  </si>
  <si>
    <t>Demography and Health</t>
  </si>
  <si>
    <t xml:space="preserve">     Support for democracy: Pew</t>
  </si>
  <si>
    <t xml:space="preserve">% who approve of change to a multiparty system </t>
  </si>
  <si>
    <t>DemocracyPew</t>
  </si>
  <si>
    <t>MarketsPew</t>
  </si>
  <si>
    <t xml:space="preserve">     Support for markets: Pew</t>
  </si>
  <si>
    <t>% who approve of a free market market economy</t>
  </si>
  <si>
    <t>% who say ordinary people have benefited a great deal or a fair amount from the changes since 1989/1991</t>
  </si>
  <si>
    <t xml:space="preserve">     Transition benefitted ordinary people: Pew</t>
  </si>
  <si>
    <t>OrdinaryPew</t>
  </si>
  <si>
    <t>2009-2019</t>
  </si>
  <si>
    <t>% who respond "Agree" and "Strongly agree" (5 point scale) to the statement "All things considered, I am satisfied with my life now.”</t>
  </si>
  <si>
    <t>2006-2016</t>
  </si>
  <si>
    <t xml:space="preserve">     Life satisfaction: EBRD Life in Transition Survey</t>
  </si>
  <si>
    <t>LifeSatisfactionEBRD</t>
  </si>
  <si>
    <t xml:space="preserve">     Support for democracy: EBRD Life in Transition Survey</t>
  </si>
  <si>
    <t xml:space="preserve">     Support for markets: EBRD Life in Transition Survey</t>
  </si>
  <si>
    <t>% who prefer democracy over authoritarian government</t>
  </si>
  <si>
    <t>% who prefer a market economy over a planned economy</t>
  </si>
  <si>
    <t>DemocracyEBRD</t>
  </si>
  <si>
    <t>MarketsEBRD</t>
  </si>
  <si>
    <t>TrustEBRD</t>
  </si>
  <si>
    <t xml:space="preserve">     Social Trust: EBRD Life in Transition Survey</t>
  </si>
  <si>
    <t>% who respond "Some trust" or "Complete trust" (5 point scale) to the question "Generally speaking, would you say that most people can be trusted, or that you cannot be too careful in dealing with people?"</t>
  </si>
  <si>
    <t>Before 1989 (asked in 2006)</t>
  </si>
  <si>
    <t xml:space="preserve">     Current economic situation in Poland: CBOS</t>
  </si>
  <si>
    <t>% who respond "Good" (3 point scale) to the question "How do you generally evaluate the current political situation in Poland?"</t>
  </si>
  <si>
    <t>EconomyCBOS</t>
  </si>
  <si>
    <t>1989-2018</t>
  </si>
  <si>
    <t xml:space="preserve">     Current political situation in Poland: CBOS</t>
  </si>
  <si>
    <t>% who respond "Good" (3 point scale) to the question "How do you generally evaluate the current economic situation in Poland?"</t>
  </si>
  <si>
    <t>PoliticalSituationCBOS</t>
  </si>
  <si>
    <t xml:space="preserve">     Government provision of minimum standard of living</t>
  </si>
  <si>
    <t xml:space="preserve">     Government provision of upper limit on income</t>
  </si>
  <si>
    <t xml:space="preserve">     Government provision of job</t>
  </si>
  <si>
    <t>% who respond "Yes" to "The government should guar- antee everyone a minimum standard of living."</t>
  </si>
  <si>
    <t>% who respond "Yes" to “The government should place an upper limit on the amount of money any one person can make.”</t>
  </si>
  <si>
    <t>% who respond "Yes" to “The government should provide a job for everyone who wants one.”</t>
  </si>
  <si>
    <t>GovLivingStandard</t>
  </si>
  <si>
    <t>1991-1996</t>
  </si>
  <si>
    <t>GovJob</t>
  </si>
  <si>
    <t>GovMaxIncome</t>
  </si>
  <si>
    <t>Eastern Germany</t>
  </si>
  <si>
    <t>Western Germany</t>
  </si>
  <si>
    <t>Japan</t>
  </si>
  <si>
    <t>Netherlands</t>
  </si>
  <si>
    <t>United Kingdom</t>
  </si>
  <si>
    <t>United States</t>
  </si>
  <si>
    <r>
      <t xml:space="preserve">James R. Kluegel, David S. Mason, and Bernd Wegener. “The International Social Justice Project.” </t>
    </r>
    <r>
      <rPr>
        <i/>
        <sz val="12"/>
        <color theme="1"/>
        <rFont val="Calibri"/>
        <family val="2"/>
      </rPr>
      <t xml:space="preserve">Social Justice and Political Change: Public Opinion in Capitalist and Post-Communist States </t>
    </r>
    <r>
      <rPr>
        <sz val="12"/>
        <color theme="1"/>
        <rFont val="Calibri"/>
        <family val="2"/>
      </rPr>
      <t xml:space="preserve">(Berlin: Walter de Gruyter, 1995). </t>
    </r>
  </si>
  <si>
    <t>CPI</t>
  </si>
  <si>
    <t>1996-2015</t>
  </si>
  <si>
    <t xml:space="preserve">     Corruption Perceptions Index score</t>
  </si>
  <si>
    <t>CPI score (0-10 scale, with 10 the least corrupt)</t>
  </si>
  <si>
    <t xml:space="preserve">Respondents were asked to select one of five illustrations of income distribution that best described their society. Data represents percentage of respondents who chose the most unequal version, Type A, a society with “a small elite at the top, very few people in the middle and the great mass of people at the bottom.” </t>
  </si>
  <si>
    <t xml:space="preserve">     Perception of income inequality</t>
  </si>
  <si>
    <t>InequalityPerception</t>
  </si>
  <si>
    <t>1992-2009</t>
  </si>
  <si>
    <t xml:space="preserve">     Support for democracy: Eurobarometer</t>
  </si>
  <si>
    <t>Percent answering "very satisfied" or "fairly satisfied" (4 point scale) to the question "On the whole, are you very satisfied, fairly satisfied, not very satisfied or not satisfied at all with the way democracy is developing (pre-2002)/works (since 2002) in (OUR COUNTRY)?"</t>
  </si>
  <si>
    <t>DemocracyEB</t>
  </si>
  <si>
    <r>
      <t xml:space="preserve">GESIS. </t>
    </r>
    <r>
      <rPr>
        <i/>
        <sz val="12"/>
        <color theme="1"/>
        <rFont val="Calibri"/>
        <family val="2"/>
      </rPr>
      <t>Central and Eastern Eurobarometer 1–8</t>
    </r>
    <r>
      <rPr>
        <sz val="12"/>
        <color theme="1"/>
        <rFont val="Calibri"/>
        <family val="2"/>
      </rPr>
      <t>. 2004. https://www.gesis.org/ eurobarometer-data-service/survey-series/central-eastern-eb/; GESIS. Applicant and Candidate Countries Eurobarometer. 2016. https://www.gesis.
org/eurobarometer-data-service/survey-series/candidate-countries-eb/; EU Open Data Portal. Standard Eurobarometer 62–88. 2018. https://data.europa.eu/ euodp/en/data/dataset?q=standard+eurobarometer&amp;ext_boolean=all&amp;sort=.</t>
    </r>
  </si>
  <si>
    <t xml:space="preserve">     Support for markets: Eurobarometer</t>
  </si>
  <si>
    <t>MarketsEB</t>
  </si>
  <si>
    <t>Percent answering "yes" (2 point scale) to the question "Do you personally feel that the creation of a free market economy, that is one largely free from state control, is right or wrong for (OUR COUNTRY'S) future?"</t>
  </si>
  <si>
    <t xml:space="preserve">     Social trust: World Values Survey</t>
  </si>
  <si>
    <t>Percent answering "agree" (2 point scale) to "Most people can be trusted."</t>
  </si>
  <si>
    <t>TrustWVS</t>
  </si>
  <si>
    <t>1989-2020</t>
  </si>
  <si>
    <r>
      <t xml:space="preserve">World Values Survey. </t>
    </r>
    <r>
      <rPr>
        <i/>
        <sz val="12"/>
        <color theme="1"/>
        <rFont val="Calibri"/>
        <family val="2"/>
      </rPr>
      <t>World Values Survey Waves 1–7</t>
    </r>
    <r>
      <rPr>
        <sz val="12"/>
        <color theme="1"/>
        <rFont val="Calibri"/>
        <family val="2"/>
      </rPr>
      <t xml:space="preserve">. 2020. http://www.worldvalues- survey.org/WVSOnline.jsp. </t>
    </r>
  </si>
  <si>
    <t>1989-1992</t>
  </si>
  <si>
    <t>1995-1998</t>
  </si>
  <si>
    <t>2000-2004</t>
  </si>
  <si>
    <t>2005-2009</t>
  </si>
  <si>
    <t>2010-2014</t>
  </si>
  <si>
    <t>2017-2020</t>
  </si>
  <si>
    <t xml:space="preserve">     Satisfaction with the way things are going: Pew</t>
  </si>
  <si>
    <t>% who are satisfied with the way things are going in their country today</t>
  </si>
  <si>
    <t>ThingsGoingPew</t>
  </si>
  <si>
    <t>2002-2019</t>
  </si>
  <si>
    <t xml:space="preserve">     World Happiness Ranking</t>
  </si>
  <si>
    <t>Average value of subjects answering how their life is on a 0-10 Cantril ladder, with 10 the best possible life</t>
  </si>
  <si>
    <t>WorldHappinessRanking</t>
  </si>
  <si>
    <t>2005-2019</t>
  </si>
  <si>
    <r>
      <t xml:space="preserve">World Happiness Report. </t>
    </r>
    <r>
      <rPr>
        <i/>
        <sz val="12"/>
        <color theme="1"/>
        <rFont val="Calibri"/>
        <family val="2"/>
      </rPr>
      <t>World Happiness Report 2020</t>
    </r>
    <r>
      <rPr>
        <sz val="12"/>
        <color theme="1"/>
        <rFont val="Calibri"/>
        <family val="2"/>
      </rPr>
      <t xml:space="preserve">. 2020. https://worldhappiness. report/ed/2020/. </t>
    </r>
  </si>
  <si>
    <t>Bosnia and Herzegovi</t>
  </si>
  <si>
    <t xml:space="preserve">     Life satisfaction: Eurobarometer</t>
  </si>
  <si>
    <t>LifeSatisfactionEB</t>
  </si>
  <si>
    <t>2000-2018</t>
  </si>
  <si>
    <t>GESIS. Applicant and Candidate Countries Eurobarometer. 2016. https://www.gesis.
org/eurobarometer-data-service/survey-series/candidate-countries-eb/; EU Open Data Portal. Standard Eurobarometer 62–88. 2018. https://data.europa.eu/ euodp/en/data/dataset?q=standard+eurobarometer&amp;ext_boolean=all&amp;sort=.</t>
  </si>
  <si>
    <t>Percent who answer "very satisfied" or "fairly satisfied" (4 point scale) to the question "On the whole, are you very satisfied, fairly satisfied, not very satisfied, or not at all satisfied with the life you lead ?"</t>
  </si>
  <si>
    <t xml:space="preserve">     Life satisfaction: RLMS</t>
  </si>
  <si>
    <t>LifeSatisfactionRLMS</t>
  </si>
  <si>
    <t>1994-2016</t>
  </si>
  <si>
    <t>Life satisfaction level, self-assessment on five-point scale (Percent of respondents who were either "fully satisfied" or "rather satisfied")</t>
  </si>
  <si>
    <t>% responding "very satisfactory" and "fairly satisfactory" (4 point scale) to the question "All in all how do you rate the economic situation of your family today?"</t>
  </si>
  <si>
    <t xml:space="preserve">     Family situation: New Europe Barometer</t>
  </si>
  <si>
    <t>FamSituation</t>
  </si>
  <si>
    <t>1991-2009</t>
  </si>
  <si>
    <t xml:space="preserve">     Harmful use of alcohol (15+), 12 month prevalence (%)</t>
  </si>
  <si>
    <t>AlcoholUse</t>
  </si>
  <si>
    <t xml:space="preserve">World Health Organization. “World Health Statistics Data Visualizations Dashboard: Harmful Use of Alcohol.” World Health Organization, 2016. https:// apps.who.int/gho/data/node.sdg.3-5-viz?lang=en. </t>
  </si>
  <si>
    <t xml:space="preserve">     Future household financial situation: Eurobarometer</t>
  </si>
  <si>
    <t>% responding "improve" (3 point scale) to the question "And over the next 12 months, do you expect that the financial situation of your household will…?"</t>
  </si>
  <si>
    <t>FutureHousehold</t>
  </si>
  <si>
    <t xml:space="preserve">     Support for democracy: NEB</t>
  </si>
  <si>
    <t>% responding &gt; 0 on a scale [-100,100] in response to "Where on this scale would you put our present system of governing with free elections and many parties?"</t>
  </si>
  <si>
    <t>DemocracyNEB</t>
  </si>
  <si>
    <t xml:space="preserve">     Support for markets: NEB</t>
  </si>
  <si>
    <t>% responding &gt; 0 on a scale [-100,100] in response to "Where on this scale would you put our present economic system?"</t>
  </si>
  <si>
    <t>1960-2018</t>
  </si>
  <si>
    <t xml:space="preserve">     Historic life expectancy at birth, total (years) for selected countries</t>
  </si>
  <si>
    <t>HistLifeExpectancy</t>
  </si>
  <si>
    <t>1915-2015</t>
  </si>
  <si>
    <r>
      <t xml:space="preserve">Gapminder. </t>
    </r>
    <r>
      <rPr>
        <i/>
        <sz val="12"/>
        <color theme="1"/>
        <rFont val="Calibri"/>
        <family val="2"/>
      </rPr>
      <t xml:space="preserve">Life Expectancy (years). </t>
    </r>
    <r>
      <rPr>
        <sz val="12"/>
        <color theme="1"/>
        <rFont val="Calibri"/>
        <family val="2"/>
      </rPr>
      <t xml:space="preserve">2020. https://www.gapminder.org/data/. </t>
    </r>
  </si>
  <si>
    <t>France</t>
  </si>
  <si>
    <t>Germany</t>
  </si>
  <si>
    <t xml:space="preserve">     Real GDP per capita: US Great Depression (2011 USD, 2011 benchmark (suitable for cross-country growth comparisons))</t>
  </si>
  <si>
    <t xml:space="preserve">     Real GDP per capita: China (2011 USD, 2011 benchmark (suitable for cross-country growth comparisons))</t>
  </si>
  <si>
    <t xml:space="preserve">     Real GDP per capita: Vietnam (2011 USD, 2011 benchmark (suitable for cross-country growth comparisons))</t>
  </si>
  <si>
    <t>RealGDPDepression</t>
  </si>
  <si>
    <t>RealGDPChina</t>
  </si>
  <si>
    <t>RealGDPVietnam</t>
  </si>
  <si>
    <t>1929-1956</t>
  </si>
  <si>
    <t>1979-2006</t>
  </si>
  <si>
    <t>1986-2013</t>
  </si>
  <si>
    <t>United States of America</t>
  </si>
  <si>
    <t>China</t>
  </si>
  <si>
    <t>Vietnam</t>
  </si>
  <si>
    <r>
      <t xml:space="preserve">Barry Popkin. </t>
    </r>
    <r>
      <rPr>
        <i/>
        <sz val="12"/>
        <color theme="1"/>
        <rFont val="Calibri"/>
        <family val="2"/>
      </rPr>
      <t xml:space="preserve">RLMS-HSE Household and Individual Data. </t>
    </r>
    <r>
      <rPr>
        <sz val="12"/>
        <color theme="1"/>
        <rFont val="Calibri"/>
        <family val="2"/>
      </rPr>
      <t xml:space="preserve">2015. https://dataverse. unc.edu/dataset.xhtml?persistentId=hdl:1902.29/11735. </t>
    </r>
  </si>
  <si>
    <r>
      <t xml:space="preserve">GESIS. </t>
    </r>
    <r>
      <rPr>
        <i/>
        <sz val="12"/>
        <color theme="1"/>
        <rFont val="Calibri"/>
        <family val="2"/>
      </rPr>
      <t xml:space="preserve">ISSP 1987/1992/1999/2009 Cumulation - "Social Inequality I-IV." </t>
    </r>
    <r>
      <rPr>
        <sz val="12"/>
        <color theme="1"/>
        <rFont val="Calibri"/>
        <family val="2"/>
      </rPr>
      <t>2009. https://www.gesis.org/en/issp/modules/issp-modules-by-topic/social-inequality/cumulation.</t>
    </r>
  </si>
  <si>
    <t>Standardized World Income Inequality Database, Version 8. 2019. https://dataverse.harvard.edu/file. xhtml?persistentId=doi:10.7910/DVN/LM4OWF/4RJPWF&amp;version=4.0.</t>
  </si>
  <si>
    <t>World Inequality Database. “Percent of National Income Flowing to the Top 1% before Taxes and Transfers.” World Inequality Database, 2020. https://wid.world/.</t>
  </si>
  <si>
    <t>Maddison Project Database 2018. 2018. https://www.rug.nl/ggdc/historicaldevelopment/maddison/releases/maddison-project-database-2018.</t>
  </si>
  <si>
    <t>Leandro Medina and Friedrich Schneider. “Shadow Economies around the
World: New Results for 158 Countries over 1991–2015.” CESifo Working Paper Series No. 6430. Retrieved from https://papers.ssrn.com/sol3/papers.cfm?abstract_ id=2965972.</t>
  </si>
  <si>
    <r>
      <t xml:space="preserve">Edgar L. Feige and Ivica Urban. “Measuring Underground (Unobserved, Non-Observed, Unrecorded) Economies in Transition Countries: Can We Trust GDP?” 2008. </t>
    </r>
    <r>
      <rPr>
        <i/>
        <sz val="12"/>
        <color theme="1"/>
        <rFont val="Calibri"/>
        <family val="2"/>
      </rPr>
      <t xml:space="preserve">Journal of Comparative Economics. </t>
    </r>
    <r>
      <rPr>
        <sz val="12"/>
        <color theme="1"/>
        <rFont val="Calibri"/>
        <family val="2"/>
      </rPr>
      <t>https://www.sciencedirect. com/science/article/pii/S0147596708000152.</t>
    </r>
  </si>
  <si>
    <t>World Bank. Death Rate, Crude (per 1,000 people). 2018. https://data.worldbank.org/
indicator/SP.DYN.CDRT.IN.</t>
  </si>
  <si>
    <t>World Bank. Fertility Rate, Total (births per woman). 2020. https://data.worldbank.
org/indicator/SP.DYN.TFRT.IN.</t>
  </si>
  <si>
    <t>UN Office on Drugs and Crime. Victims of Intentional Homicide, 1990–2018. 2020. https://dataunodc.un.org/content/data/homicide/homicide-rate.</t>
  </si>
  <si>
    <t xml:space="preserve">World Health Organization. “Mortality Database.” UN, 2020. https://apps.who.int/ healthinfo/statistics/mortality/whodpms/. </t>
  </si>
  <si>
    <t xml:space="preserve">Transparency International. “Corruption Perceptions Index.” Transparency International, 2020. https://www.transparency.org/en/. </t>
  </si>
  <si>
    <t xml:space="preserve">Public Opinion Research Center (CBOS) “Polish Public Opinion: Assessment of Systemic Transformation.” June 5, 2019. https://www.cbos.pl/PL/publikacje/pub- lic_opinion/2019/05_06_2019.pdf. </t>
  </si>
  <si>
    <r>
      <t xml:space="preserve">Richard Rose and Christian Haerpfer. </t>
    </r>
    <r>
      <rPr>
        <i/>
        <sz val="12"/>
        <color theme="1"/>
        <rFont val="Calibri"/>
        <family val="2"/>
      </rPr>
      <t xml:space="preserve">New Baltic Barometer I, II, III, IV, and V. </t>
    </r>
    <r>
      <rPr>
        <sz val="12"/>
        <color theme="1"/>
        <rFont val="Calibri"/>
        <family val="2"/>
      </rPr>
      <t>Glasgow: CSPP Publications, 1993, 1995, 1996, 2000, 2001, 2004; Richard Rose and Christian Haerpfer. New Democracies Barometer I, II, III, IV, and V Glasgow: CSPP Publications, 1991, 1992, 1993, 1994, 1995; Richard Rose and Christian Haerpfer. New Russia Barometer IX, XIV, and XVIII. Glasgow: CSPP Publications, 2000, 2005, 2009.</t>
    </r>
  </si>
  <si>
    <r>
      <t xml:space="preserve">European Bank for Reconstruction and Development. </t>
    </r>
    <r>
      <rPr>
        <i/>
        <sz val="12"/>
        <color theme="1"/>
        <rFont val="Calibri"/>
        <family val="2"/>
      </rPr>
      <t xml:space="preserve">Life in Transition Survey I. </t>
    </r>
    <r>
      <rPr>
        <sz val="12"/>
        <color theme="1"/>
        <rFont val="Calibri"/>
        <family val="2"/>
      </rPr>
      <t>2006. https://www.ebrd.com/news/publications/special-reports/ life-in-transition-survey-i.html; European Bank for Reconstruction and Development. Life in Transition Survey II. 2010. https://www.ebrd.com/what-we-do/economic-research-and-data/data/lits.html; European Bank for Reconstruction and Development. Life in Transition Survey III. 2016. https://www.ebrd.com/what-we-do/economic-research-and-data/data/lits.html.</t>
    </r>
  </si>
  <si>
    <t>MarketsNEB</t>
  </si>
  <si>
    <r>
      <t xml:space="preserve">United States Department of Agriculture Economic Research Service. </t>
    </r>
    <r>
      <rPr>
        <i/>
        <sz val="12"/>
        <color theme="1"/>
        <rFont val="Calibri"/>
        <family val="2"/>
      </rPr>
      <t xml:space="preserve">Real </t>
    </r>
    <r>
      <rPr>
        <sz val="12"/>
        <color theme="1"/>
        <rFont val="Calibri"/>
        <family val="2"/>
      </rPr>
      <t>h</t>
    </r>
    <r>
      <rPr>
        <i/>
        <sz val="12"/>
        <color theme="1"/>
        <rFont val="Calibri"/>
        <family val="2"/>
      </rPr>
      <t>ousehold consumption expenditure (including NPISH) (2010 dollars)</t>
    </r>
    <r>
      <rPr>
        <sz val="12"/>
        <color theme="1"/>
        <rFont val="Calibri"/>
        <family val="2"/>
      </rPr>
      <t xml:space="preserve">. 2018. https://www.ers.usda.gov/data-products/international- macroeconomic-data-set/international-macroeconomic-data-set/#Historical%20 Data%20Files. </t>
    </r>
  </si>
  <si>
    <r>
      <t xml:space="preserve">UN Development Programme. </t>
    </r>
    <r>
      <rPr>
        <i/>
        <sz val="12"/>
        <color theme="1"/>
        <rFont val="Calibri"/>
        <family val="2"/>
      </rPr>
      <t>Human Development Index (HDI)</t>
    </r>
    <r>
      <rPr>
        <sz val="12"/>
        <color theme="1"/>
        <rFont val="Calibri"/>
        <family val="2"/>
      </rPr>
      <t xml:space="preserve">. 2018. http://hdr. undp.org/en/content/human-development-index-hdi. </t>
    </r>
  </si>
  <si>
    <r>
      <t xml:space="preserve">International Monetary Fund. </t>
    </r>
    <r>
      <rPr>
        <i/>
        <sz val="12"/>
        <color theme="1"/>
        <rFont val="Calibri"/>
        <family val="2"/>
      </rPr>
      <t xml:space="preserve">Expenditure by Functions of Government (COFOG). </t>
    </r>
    <r>
      <rPr>
        <sz val="12"/>
        <color theme="1"/>
        <rFont val="Calibri"/>
        <family val="2"/>
      </rPr>
      <t xml:space="preserve">2020. https://data.imf.org/?sk=5804C5E1-0502-4672-BDCD-671BCDC565A9. </t>
    </r>
  </si>
  <si>
    <r>
      <t xml:space="preserve">World Bank. </t>
    </r>
    <r>
      <rPr>
        <i/>
        <sz val="12"/>
        <color theme="1"/>
        <rFont val="Calibri"/>
        <family val="2"/>
      </rPr>
      <t>Poverty Headcount Ratio at $5.50 a Day (2011 PPP) (% of population)</t>
    </r>
    <r>
      <rPr>
        <sz val="12"/>
        <color theme="1"/>
        <rFont val="Calibri"/>
        <family val="2"/>
      </rPr>
      <t xml:space="preserve">. 2018. https://data.worldbank.org/indicator/SI.POV.DDAY. </t>
    </r>
  </si>
  <si>
    <r>
      <t xml:space="preserve">United States Department of Agriculture Economic Research Service. </t>
    </r>
    <r>
      <rPr>
        <i/>
        <sz val="12"/>
        <color theme="1"/>
        <rFont val="Calibri"/>
        <family val="2"/>
      </rPr>
      <t>Real GDP (2010 dollars) Historical</t>
    </r>
    <r>
      <rPr>
        <sz val="12"/>
        <color theme="1"/>
        <rFont val="Calibri"/>
        <family val="2"/>
      </rPr>
      <t xml:space="preserve">. 2018. https://www.ers.usda.gov/data-products/international- macroeconomic-data-set/international-macroeconomic-data-set/#Historical%20 Data%20Files. </t>
    </r>
  </si>
  <si>
    <r>
      <t xml:space="preserve">World Bank. </t>
    </r>
    <r>
      <rPr>
        <i/>
        <sz val="12"/>
        <color theme="1"/>
        <rFont val="Calibri"/>
        <family val="2"/>
      </rPr>
      <t>Life Expectancy at Birth, Total (years)</t>
    </r>
    <r>
      <rPr>
        <sz val="12"/>
        <color theme="1"/>
        <rFont val="Calibri"/>
        <family val="2"/>
      </rPr>
      <t xml:space="preserve">. 2018. https://data.worldbank.org/ indicator/SP.DYN.LE00.IN. </t>
    </r>
  </si>
  <si>
    <r>
      <t xml:space="preserve">UN Data. </t>
    </r>
    <r>
      <rPr>
        <i/>
        <sz val="12"/>
        <color theme="1"/>
        <rFont val="Calibri"/>
        <family val="2"/>
      </rPr>
      <t>Net Migration Rate (per 1,000 population)</t>
    </r>
    <r>
      <rPr>
        <sz val="12"/>
        <color theme="1"/>
        <rFont val="Calibri"/>
        <family val="2"/>
      </rPr>
      <t xml:space="preserve">. 2018. http://data.un.org/Data.asp x?q=Net+migration+rate&amp;d=PopDiv&amp;f=variableID%3a85. </t>
    </r>
  </si>
  <si>
    <r>
      <t xml:space="preserve">World Bank. </t>
    </r>
    <r>
      <rPr>
        <i/>
        <sz val="12"/>
        <color theme="1"/>
        <rFont val="Calibri"/>
        <family val="2"/>
      </rPr>
      <t>Population, Total</t>
    </r>
    <r>
      <rPr>
        <sz val="12"/>
        <color theme="1"/>
        <rFont val="Calibri"/>
        <family val="2"/>
      </rPr>
      <t xml:space="preserve">. 2018. https://data.worldbank.org/indicator/SP.POP. TOTL. </t>
    </r>
  </si>
  <si>
    <r>
      <t xml:space="preserve">Pew Research Center. </t>
    </r>
    <r>
      <rPr>
        <i/>
        <sz val="12"/>
        <color theme="1"/>
        <rFont val="Calibri"/>
        <family val="2"/>
      </rPr>
      <t xml:space="preserve">European Public Opinion Three Decades after the Fall of Communism. </t>
    </r>
    <r>
      <rPr>
        <sz val="12"/>
        <color theme="1"/>
        <rFont val="Calibri"/>
        <family val="2"/>
      </rPr>
      <t xml:space="preserve">Washington, DC: Pew Research Center, 2019. https://www.pewre- search.org/global/wp-content/uploads/sites/2/2019/10/Pew-Research-Center- Value-of-Europe-report-FINAL-UPDATED.pdf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</si>
</sst>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2"/>
      <color theme="1"/>
      <name val="Calibri"/>
      <family val="2"/>
      <scheme val="minor"/>
    </font>
    <font>
      <sz val="12"/>
      <color theme="1"/>
      <name val="Calibri"/>
      <family val="2"/>
    </font>
    <font>
      <i/>
      <sz val="12"/>
      <color theme="1"/>
      <name val="Calibri"/>
      <family val="2"/>
    </font>
    <font>
      <b/>
      <sz val="12"/>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xf numFmtId="0" fontId="3" fillId="0" borderId="0" xfId="0" applyFont="1"/>
    <xf numFmtId="0" fontId="2" fillId="0" borderId="0" xfId="0" applyFont="1"/>
    <xf numFmtId="0" fontId="1" fillId="0" borderId="0" xfId="0" applyFont="1" applyFill="1"/>
    <xf numFmtId="164" fontId="1" fillId="0" borderId="0" xfId="0" applyNumberFormat="1" applyFont="1" applyAlignment="1">
      <alignment horizontal="right"/>
    </xf>
    <xf numFmtId="2" fontId="1" fillId="0" borderId="0" xfId="0" applyNumberFormat="1" applyFont="1"/>
    <xf numFmtId="3" fontId="1" fillId="0" borderId="0" xfId="0" applyNumberFormat="1" applyFont="1"/>
    <xf numFmtId="11"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A398-00FC-304D-B544-3CC9A562EF99}">
  <dimension ref="B2:F63"/>
  <sheetViews>
    <sheetView tabSelected="1" topLeftCell="A33" workbookViewId="0">
      <selection activeCell="B61" sqref="B61"/>
    </sheetView>
  </sheetViews>
  <sheetFormatPr baseColWidth="10" defaultRowHeight="16" x14ac:dyDescent="0.2"/>
  <cols>
    <col min="1" max="1" width="10.83203125" style="1"/>
    <col min="2" max="2" width="76.6640625" style="1" bestFit="1" customWidth="1"/>
    <col min="3" max="3" width="20.5" style="1" bestFit="1" customWidth="1"/>
    <col min="4" max="4" width="21.1640625" style="1" bestFit="1" customWidth="1"/>
    <col min="5" max="16384" width="10.83203125" style="1"/>
  </cols>
  <sheetData>
    <row r="2" spans="2:6" x14ac:dyDescent="0.2">
      <c r="B2" s="3" t="s">
        <v>46</v>
      </c>
    </row>
    <row r="4" spans="2:6" x14ac:dyDescent="0.2">
      <c r="B4" s="3" t="s">
        <v>79</v>
      </c>
      <c r="C4" s="3" t="s">
        <v>104</v>
      </c>
      <c r="D4" s="3" t="s">
        <v>64</v>
      </c>
      <c r="E4" s="3" t="s">
        <v>0</v>
      </c>
      <c r="F4" s="3" t="s">
        <v>1</v>
      </c>
    </row>
    <row r="5" spans="2:6" x14ac:dyDescent="0.2">
      <c r="B5" s="4" t="s">
        <v>45</v>
      </c>
    </row>
    <row r="6" spans="2:6" x14ac:dyDescent="0.2">
      <c r="B6" s="1" t="s">
        <v>47</v>
      </c>
      <c r="D6" s="1" t="s">
        <v>65</v>
      </c>
      <c r="E6" s="1" t="s">
        <v>2</v>
      </c>
      <c r="F6" s="1" t="s">
        <v>251</v>
      </c>
    </row>
    <row r="7" spans="2:6" x14ac:dyDescent="0.2">
      <c r="B7" s="1" t="s">
        <v>48</v>
      </c>
      <c r="D7" s="1" t="s">
        <v>66</v>
      </c>
      <c r="E7" s="1" t="s">
        <v>2</v>
      </c>
      <c r="F7" s="1" t="s">
        <v>251</v>
      </c>
    </row>
    <row r="8" spans="2:6" x14ac:dyDescent="0.2">
      <c r="B8" s="1" t="s">
        <v>51</v>
      </c>
      <c r="D8" s="1" t="s">
        <v>70</v>
      </c>
      <c r="E8" s="1" t="s">
        <v>44</v>
      </c>
      <c r="F8" s="1" t="s">
        <v>265</v>
      </c>
    </row>
    <row r="9" spans="2:6" x14ac:dyDescent="0.2">
      <c r="B9" s="1" t="s">
        <v>52</v>
      </c>
      <c r="D9" s="1" t="s">
        <v>69</v>
      </c>
      <c r="E9" s="1" t="s">
        <v>43</v>
      </c>
      <c r="F9" s="1" t="s">
        <v>266</v>
      </c>
    </row>
    <row r="10" spans="2:6" x14ac:dyDescent="0.2">
      <c r="B10" s="1" t="s">
        <v>60</v>
      </c>
      <c r="D10" s="1" t="s">
        <v>71</v>
      </c>
      <c r="E10" s="1" t="s">
        <v>53</v>
      </c>
      <c r="F10" s="1" t="s">
        <v>252</v>
      </c>
    </row>
    <row r="11" spans="2:6" x14ac:dyDescent="0.2">
      <c r="B11" s="1" t="s">
        <v>62</v>
      </c>
      <c r="D11" s="1" t="s">
        <v>73</v>
      </c>
      <c r="E11" s="1" t="s">
        <v>58</v>
      </c>
      <c r="F11" s="1" t="s">
        <v>267</v>
      </c>
    </row>
    <row r="12" spans="2:6" x14ac:dyDescent="0.2">
      <c r="B12" s="1" t="s">
        <v>61</v>
      </c>
      <c r="D12" s="1" t="s">
        <v>72</v>
      </c>
      <c r="E12" s="1" t="s">
        <v>57</v>
      </c>
      <c r="F12" s="1" t="s">
        <v>268</v>
      </c>
    </row>
    <row r="13" spans="2:6" x14ac:dyDescent="0.2">
      <c r="B13" s="1" t="s">
        <v>49</v>
      </c>
      <c r="D13" s="1" t="s">
        <v>67</v>
      </c>
      <c r="E13" s="1" t="s">
        <v>35</v>
      </c>
      <c r="F13" s="1" t="s">
        <v>269</v>
      </c>
    </row>
    <row r="14" spans="2:6" x14ac:dyDescent="0.2">
      <c r="B14" s="1" t="s">
        <v>50</v>
      </c>
      <c r="D14" s="1" t="s">
        <v>68</v>
      </c>
      <c r="E14" s="1" t="s">
        <v>42</v>
      </c>
      <c r="F14" s="1" t="s">
        <v>253</v>
      </c>
    </row>
    <row r="15" spans="2:6" x14ac:dyDescent="0.2">
      <c r="B15" s="1" t="s">
        <v>238</v>
      </c>
      <c r="D15" s="1" t="s">
        <v>241</v>
      </c>
      <c r="E15" s="1" t="s">
        <v>244</v>
      </c>
      <c r="F15" s="1" t="s">
        <v>253</v>
      </c>
    </row>
    <row r="16" spans="2:6" x14ac:dyDescent="0.2">
      <c r="B16" s="1" t="s">
        <v>237</v>
      </c>
      <c r="D16" s="1" t="s">
        <v>240</v>
      </c>
      <c r="E16" s="1" t="s">
        <v>243</v>
      </c>
      <c r="F16" s="1" t="s">
        <v>253</v>
      </c>
    </row>
    <row r="17" spans="2:6" x14ac:dyDescent="0.2">
      <c r="B17" s="1" t="s">
        <v>239</v>
      </c>
      <c r="D17" s="1" t="s">
        <v>242</v>
      </c>
      <c r="E17" s="1" t="s">
        <v>245</v>
      </c>
      <c r="F17" s="1" t="s">
        <v>253</v>
      </c>
    </row>
    <row r="18" spans="2:6" x14ac:dyDescent="0.2">
      <c r="B18" s="1" t="s">
        <v>63</v>
      </c>
      <c r="D18" s="1" t="s">
        <v>74</v>
      </c>
      <c r="E18" s="1" t="s">
        <v>59</v>
      </c>
      <c r="F18" s="2" t="s">
        <v>254</v>
      </c>
    </row>
    <row r="19" spans="2:6" x14ac:dyDescent="0.2">
      <c r="B19" s="1" t="s">
        <v>75</v>
      </c>
      <c r="D19" s="1" t="s">
        <v>76</v>
      </c>
      <c r="E19" s="1" t="s">
        <v>77</v>
      </c>
      <c r="F19" s="1" t="s">
        <v>255</v>
      </c>
    </row>
    <row r="21" spans="2:6" x14ac:dyDescent="0.2">
      <c r="B21" s="4" t="s">
        <v>121</v>
      </c>
    </row>
    <row r="22" spans="2:6" x14ac:dyDescent="0.2">
      <c r="B22" s="1" t="s">
        <v>80</v>
      </c>
      <c r="D22" s="1" t="s">
        <v>81</v>
      </c>
      <c r="E22" s="1" t="s">
        <v>44</v>
      </c>
      <c r="F22" s="2" t="s">
        <v>256</v>
      </c>
    </row>
    <row r="23" spans="2:6" x14ac:dyDescent="0.2">
      <c r="B23" s="1" t="s">
        <v>87</v>
      </c>
      <c r="D23" s="1" t="s">
        <v>88</v>
      </c>
      <c r="E23" s="1" t="s">
        <v>230</v>
      </c>
      <c r="F23" s="2" t="s">
        <v>257</v>
      </c>
    </row>
    <row r="24" spans="2:6" x14ac:dyDescent="0.2">
      <c r="B24" s="1" t="s">
        <v>219</v>
      </c>
      <c r="D24" s="1" t="s">
        <v>220</v>
      </c>
      <c r="E24" s="1">
        <v>2016</v>
      </c>
      <c r="F24" s="1" t="s">
        <v>221</v>
      </c>
    </row>
    <row r="25" spans="2:6" x14ac:dyDescent="0.2">
      <c r="B25" s="1" t="s">
        <v>231</v>
      </c>
      <c r="D25" s="1" t="s">
        <v>232</v>
      </c>
      <c r="E25" s="1" t="s">
        <v>233</v>
      </c>
      <c r="F25" s="1" t="s">
        <v>234</v>
      </c>
    </row>
    <row r="26" spans="2:6" x14ac:dyDescent="0.2">
      <c r="B26" s="1" t="s">
        <v>82</v>
      </c>
      <c r="D26" s="1" t="s">
        <v>83</v>
      </c>
      <c r="E26" s="1" t="s">
        <v>84</v>
      </c>
      <c r="F26" s="1" t="s">
        <v>258</v>
      </c>
    </row>
    <row r="27" spans="2:6" x14ac:dyDescent="0.2">
      <c r="B27" s="1" t="s">
        <v>89</v>
      </c>
      <c r="D27" s="1" t="s">
        <v>90</v>
      </c>
      <c r="E27" s="1" t="s">
        <v>44</v>
      </c>
      <c r="F27" s="1" t="s">
        <v>270</v>
      </c>
    </row>
    <row r="28" spans="2:6" x14ac:dyDescent="0.2">
      <c r="B28" s="1" t="s">
        <v>91</v>
      </c>
      <c r="D28" s="1" t="s">
        <v>92</v>
      </c>
      <c r="E28" s="1" t="s">
        <v>93</v>
      </c>
      <c r="F28" s="1" t="s">
        <v>271</v>
      </c>
    </row>
    <row r="29" spans="2:6" x14ac:dyDescent="0.2">
      <c r="B29" s="1" t="s">
        <v>85</v>
      </c>
      <c r="D29" s="1" t="s">
        <v>86</v>
      </c>
      <c r="E29" s="1" t="s">
        <v>44</v>
      </c>
      <c r="F29" s="1" t="s">
        <v>259</v>
      </c>
    </row>
    <row r="30" spans="2:6" x14ac:dyDescent="0.2">
      <c r="B30" s="1" t="s">
        <v>98</v>
      </c>
      <c r="D30" s="1" t="s">
        <v>99</v>
      </c>
      <c r="E30" s="1" t="s">
        <v>42</v>
      </c>
      <c r="F30" s="1" t="s">
        <v>253</v>
      </c>
    </row>
    <row r="31" spans="2:6" x14ac:dyDescent="0.2">
      <c r="B31" s="1" t="s">
        <v>95</v>
      </c>
      <c r="D31" s="1" t="s">
        <v>96</v>
      </c>
      <c r="E31" s="1" t="s">
        <v>97</v>
      </c>
      <c r="F31" s="1" t="s">
        <v>272</v>
      </c>
    </row>
    <row r="33" spans="2:6" x14ac:dyDescent="0.2">
      <c r="B33" s="4" t="s">
        <v>78</v>
      </c>
    </row>
    <row r="34" spans="2:6" x14ac:dyDescent="0.2">
      <c r="B34" s="1" t="s">
        <v>172</v>
      </c>
      <c r="C34" s="1" t="s">
        <v>173</v>
      </c>
      <c r="D34" s="1" t="s">
        <v>170</v>
      </c>
      <c r="E34" s="1" t="s">
        <v>171</v>
      </c>
      <c r="F34" s="1" t="s">
        <v>260</v>
      </c>
    </row>
    <row r="35" spans="2:6" x14ac:dyDescent="0.2">
      <c r="B35" s="1" t="s">
        <v>146</v>
      </c>
      <c r="C35" s="1" t="s">
        <v>151</v>
      </c>
      <c r="D35" s="1" t="s">
        <v>148</v>
      </c>
      <c r="E35" s="1" t="s">
        <v>149</v>
      </c>
      <c r="F35" s="1" t="s">
        <v>261</v>
      </c>
    </row>
    <row r="36" spans="2:6" x14ac:dyDescent="0.2">
      <c r="B36" s="1" t="s">
        <v>150</v>
      </c>
      <c r="C36" s="1" t="s">
        <v>147</v>
      </c>
      <c r="D36" s="1" t="s">
        <v>152</v>
      </c>
      <c r="E36" s="1" t="s">
        <v>149</v>
      </c>
      <c r="F36" s="1" t="s">
        <v>261</v>
      </c>
    </row>
    <row r="37" spans="2:6" x14ac:dyDescent="0.2">
      <c r="B37" s="1" t="s">
        <v>216</v>
      </c>
      <c r="C37" s="1" t="s">
        <v>215</v>
      </c>
      <c r="D37" s="1" t="s">
        <v>217</v>
      </c>
      <c r="E37" s="1" t="s">
        <v>218</v>
      </c>
      <c r="F37" s="1" t="s">
        <v>262</v>
      </c>
    </row>
    <row r="38" spans="2:6" x14ac:dyDescent="0.2">
      <c r="B38" s="1" t="s">
        <v>222</v>
      </c>
      <c r="C38" s="1" t="s">
        <v>223</v>
      </c>
      <c r="D38" s="1" t="s">
        <v>224</v>
      </c>
      <c r="E38" s="1" t="s">
        <v>84</v>
      </c>
      <c r="F38" s="2" t="s">
        <v>209</v>
      </c>
    </row>
    <row r="39" spans="2:6" x14ac:dyDescent="0.2">
      <c r="B39" s="1" t="s">
        <v>155</v>
      </c>
      <c r="C39" s="1" t="s">
        <v>158</v>
      </c>
      <c r="D39" s="1" t="s">
        <v>161</v>
      </c>
      <c r="E39" s="1" t="s">
        <v>160</v>
      </c>
      <c r="F39" s="1" t="s">
        <v>169</v>
      </c>
    </row>
    <row r="40" spans="2:6" x14ac:dyDescent="0.2">
      <c r="B40" s="1" t="s">
        <v>153</v>
      </c>
      <c r="C40" s="1" t="s">
        <v>156</v>
      </c>
      <c r="D40" s="1" t="s">
        <v>159</v>
      </c>
      <c r="E40" s="1" t="s">
        <v>160</v>
      </c>
      <c r="F40" s="1" t="s">
        <v>169</v>
      </c>
    </row>
    <row r="41" spans="2:6" x14ac:dyDescent="0.2">
      <c r="B41" s="1" t="s">
        <v>154</v>
      </c>
      <c r="C41" s="1" t="s">
        <v>157</v>
      </c>
      <c r="D41" s="1" t="s">
        <v>162</v>
      </c>
      <c r="E41" s="1" t="s">
        <v>160</v>
      </c>
      <c r="F41" s="1" t="s">
        <v>169</v>
      </c>
    </row>
    <row r="42" spans="2:6" x14ac:dyDescent="0.2">
      <c r="B42" s="1" t="s">
        <v>110</v>
      </c>
      <c r="C42" s="1" t="s">
        <v>107</v>
      </c>
      <c r="D42" s="1" t="s">
        <v>103</v>
      </c>
      <c r="E42" s="1" t="s">
        <v>101</v>
      </c>
      <c r="F42" s="1" t="s">
        <v>262</v>
      </c>
    </row>
    <row r="43" spans="2:6" x14ac:dyDescent="0.2">
      <c r="B43" s="1" t="s">
        <v>108</v>
      </c>
      <c r="C43" s="1" t="s">
        <v>105</v>
      </c>
      <c r="D43" s="1" t="s">
        <v>100</v>
      </c>
      <c r="E43" s="1" t="s">
        <v>101</v>
      </c>
      <c r="F43" s="1" t="s">
        <v>262</v>
      </c>
    </row>
    <row r="44" spans="2:6" x14ac:dyDescent="0.2">
      <c r="B44" s="1" t="s">
        <v>109</v>
      </c>
      <c r="C44" s="1" t="s">
        <v>106</v>
      </c>
      <c r="D44" s="1" t="s">
        <v>102</v>
      </c>
      <c r="E44" s="1" t="s">
        <v>101</v>
      </c>
      <c r="F44" s="1" t="s">
        <v>262</v>
      </c>
    </row>
    <row r="45" spans="2:6" x14ac:dyDescent="0.2">
      <c r="B45" s="1" t="s">
        <v>134</v>
      </c>
      <c r="C45" s="1" t="s">
        <v>132</v>
      </c>
      <c r="D45" s="1" t="s">
        <v>135</v>
      </c>
      <c r="E45" s="1" t="s">
        <v>133</v>
      </c>
      <c r="F45" s="1" t="s">
        <v>263</v>
      </c>
    </row>
    <row r="46" spans="2:6" x14ac:dyDescent="0.2">
      <c r="B46" s="1" t="s">
        <v>206</v>
      </c>
      <c r="C46" s="1" t="s">
        <v>210</v>
      </c>
      <c r="D46" s="1" t="s">
        <v>207</v>
      </c>
      <c r="E46" s="1" t="s">
        <v>208</v>
      </c>
      <c r="F46" s="2" t="s">
        <v>209</v>
      </c>
    </row>
    <row r="47" spans="2:6" x14ac:dyDescent="0.2">
      <c r="B47" s="1" t="s">
        <v>116</v>
      </c>
      <c r="C47" s="1" t="s">
        <v>117</v>
      </c>
      <c r="D47" s="1" t="s">
        <v>118</v>
      </c>
      <c r="E47" s="1" t="s">
        <v>119</v>
      </c>
      <c r="F47" s="1" t="s">
        <v>273</v>
      </c>
    </row>
    <row r="48" spans="2:6" x14ac:dyDescent="0.2">
      <c r="B48" s="1" t="s">
        <v>211</v>
      </c>
      <c r="C48" s="1" t="s">
        <v>214</v>
      </c>
      <c r="D48" s="1" t="s">
        <v>212</v>
      </c>
      <c r="E48" s="1" t="s">
        <v>213</v>
      </c>
      <c r="F48" s="1" t="s">
        <v>249</v>
      </c>
    </row>
    <row r="49" spans="2:6" x14ac:dyDescent="0.2">
      <c r="B49" s="1" t="s">
        <v>175</v>
      </c>
      <c r="C49" s="1" t="s">
        <v>174</v>
      </c>
      <c r="D49" s="1" t="s">
        <v>176</v>
      </c>
      <c r="E49" s="1" t="s">
        <v>177</v>
      </c>
      <c r="F49" s="1" t="s">
        <v>250</v>
      </c>
    </row>
    <row r="50" spans="2:6" x14ac:dyDescent="0.2">
      <c r="B50" s="1" t="s">
        <v>196</v>
      </c>
      <c r="C50" s="1" t="s">
        <v>197</v>
      </c>
      <c r="D50" s="1" t="s">
        <v>198</v>
      </c>
      <c r="E50" s="1" t="s">
        <v>199</v>
      </c>
      <c r="F50" s="1" t="s">
        <v>273</v>
      </c>
    </row>
    <row r="51" spans="2:6" x14ac:dyDescent="0.2">
      <c r="B51" s="1" t="s">
        <v>143</v>
      </c>
      <c r="C51" s="1" t="s">
        <v>144</v>
      </c>
      <c r="D51" s="1" t="s">
        <v>142</v>
      </c>
      <c r="E51" s="1" t="s">
        <v>42</v>
      </c>
      <c r="F51" s="1" t="s">
        <v>263</v>
      </c>
    </row>
    <row r="52" spans="2:6" x14ac:dyDescent="0.2">
      <c r="B52" s="1" t="s">
        <v>185</v>
      </c>
      <c r="C52" s="1" t="s">
        <v>186</v>
      </c>
      <c r="D52" s="1" t="s">
        <v>187</v>
      </c>
      <c r="E52" s="1" t="s">
        <v>188</v>
      </c>
      <c r="F52" s="1" t="s">
        <v>189</v>
      </c>
    </row>
    <row r="53" spans="2:6" ht="16" customHeight="1" x14ac:dyDescent="0.2">
      <c r="B53" s="1" t="s">
        <v>136</v>
      </c>
      <c r="C53" s="1" t="s">
        <v>138</v>
      </c>
      <c r="D53" s="1" t="s">
        <v>140</v>
      </c>
      <c r="E53" s="1" t="s">
        <v>133</v>
      </c>
      <c r="F53" s="1" t="s">
        <v>263</v>
      </c>
    </row>
    <row r="54" spans="2:6" x14ac:dyDescent="0.2">
      <c r="B54" s="1" t="s">
        <v>178</v>
      </c>
      <c r="C54" s="1" t="s">
        <v>179</v>
      </c>
      <c r="D54" s="1" t="s">
        <v>180</v>
      </c>
      <c r="E54" s="1" t="s">
        <v>84</v>
      </c>
      <c r="F54" s="2" t="s">
        <v>181</v>
      </c>
    </row>
    <row r="55" spans="2:6" x14ac:dyDescent="0.2">
      <c r="B55" s="1" t="s">
        <v>225</v>
      </c>
      <c r="C55" s="1" t="s">
        <v>226</v>
      </c>
      <c r="D55" s="1" t="s">
        <v>227</v>
      </c>
      <c r="E55" s="1" t="s">
        <v>218</v>
      </c>
      <c r="F55" s="1" t="s">
        <v>262</v>
      </c>
    </row>
    <row r="56" spans="2:6" x14ac:dyDescent="0.2">
      <c r="B56" s="1" t="s">
        <v>122</v>
      </c>
      <c r="C56" s="1" t="s">
        <v>123</v>
      </c>
      <c r="D56" s="1" t="s">
        <v>124</v>
      </c>
      <c r="E56" s="1" t="s">
        <v>119</v>
      </c>
      <c r="F56" s="1" t="s">
        <v>273</v>
      </c>
    </row>
    <row r="57" spans="2:6" x14ac:dyDescent="0.2">
      <c r="B57" s="1" t="s">
        <v>137</v>
      </c>
      <c r="C57" s="1" t="s">
        <v>139</v>
      </c>
      <c r="D57" s="1" t="s">
        <v>141</v>
      </c>
      <c r="E57" s="1" t="s">
        <v>133</v>
      </c>
      <c r="F57" s="1" t="s">
        <v>263</v>
      </c>
    </row>
    <row r="58" spans="2:6" x14ac:dyDescent="0.2">
      <c r="B58" s="1" t="s">
        <v>182</v>
      </c>
      <c r="C58" s="1" t="s">
        <v>184</v>
      </c>
      <c r="D58" s="1" t="s">
        <v>183</v>
      </c>
      <c r="E58" s="1" t="s">
        <v>84</v>
      </c>
      <c r="F58" s="2" t="s">
        <v>181</v>
      </c>
    </row>
    <row r="59" spans="2:6" x14ac:dyDescent="0.2">
      <c r="B59" s="1" t="s">
        <v>228</v>
      </c>
      <c r="C59" s="1" t="s">
        <v>229</v>
      </c>
      <c r="D59" s="1" t="s">
        <v>264</v>
      </c>
      <c r="E59" s="1" t="s">
        <v>218</v>
      </c>
      <c r="F59" s="1" t="s">
        <v>262</v>
      </c>
    </row>
    <row r="60" spans="2:6" x14ac:dyDescent="0.2">
      <c r="B60" s="1" t="s">
        <v>126</v>
      </c>
      <c r="C60" s="1" t="s">
        <v>127</v>
      </c>
      <c r="D60" s="1" t="s">
        <v>125</v>
      </c>
      <c r="E60" s="1" t="s">
        <v>119</v>
      </c>
      <c r="F60" s="1" t="s">
        <v>273</v>
      </c>
    </row>
    <row r="61" spans="2:6" x14ac:dyDescent="0.2">
      <c r="B61" s="1" t="s">
        <v>111</v>
      </c>
      <c r="C61" s="1" t="s">
        <v>115</v>
      </c>
      <c r="D61" s="1" t="s">
        <v>112</v>
      </c>
      <c r="E61" s="1" t="s">
        <v>113</v>
      </c>
      <c r="F61" s="1" t="s">
        <v>114</v>
      </c>
    </row>
    <row r="62" spans="2:6" x14ac:dyDescent="0.2">
      <c r="B62" s="1" t="s">
        <v>129</v>
      </c>
      <c r="C62" s="1" t="s">
        <v>128</v>
      </c>
      <c r="D62" s="1" t="s">
        <v>130</v>
      </c>
      <c r="E62" s="1" t="s">
        <v>131</v>
      </c>
      <c r="F62" s="1" t="s">
        <v>273</v>
      </c>
    </row>
    <row r="63" spans="2:6" x14ac:dyDescent="0.2">
      <c r="B63" s="1" t="s">
        <v>200</v>
      </c>
      <c r="C63" s="1" t="s">
        <v>201</v>
      </c>
      <c r="D63" s="1" t="s">
        <v>202</v>
      </c>
      <c r="E63" s="1" t="s">
        <v>203</v>
      </c>
      <c r="F63" s="1" t="s">
        <v>204</v>
      </c>
    </row>
  </sheetData>
  <sortState xmlns:xlrd2="http://schemas.microsoft.com/office/spreadsheetml/2017/richdata2" ref="B34:F63">
    <sortCondition ref="B34:B63"/>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E6DCE-B652-AD4A-ABCA-55B7212EF71E}">
  <dimension ref="A1:AC29"/>
  <sheetViews>
    <sheetView workbookViewId="0">
      <selection activeCell="B61" sqref="B61"/>
    </sheetView>
  </sheetViews>
  <sheetFormatPr baseColWidth="10" defaultRowHeight="16" x14ac:dyDescent="0.2"/>
  <cols>
    <col min="1" max="16384" width="10.83203125" style="1"/>
  </cols>
  <sheetData>
    <row r="1" spans="1:29" x14ac:dyDescent="0.2">
      <c r="B1" s="1">
        <v>1989</v>
      </c>
      <c r="C1" s="1">
        <v>1990</v>
      </c>
      <c r="D1" s="1">
        <v>1991</v>
      </c>
      <c r="E1" s="1">
        <v>1992</v>
      </c>
      <c r="F1" s="1">
        <v>1993</v>
      </c>
      <c r="G1" s="1">
        <v>1994</v>
      </c>
      <c r="H1" s="1">
        <v>1995</v>
      </c>
      <c r="I1" s="1">
        <v>1996</v>
      </c>
      <c r="J1" s="1">
        <v>1997</v>
      </c>
      <c r="K1" s="1">
        <v>1998</v>
      </c>
      <c r="L1" s="1">
        <v>1999</v>
      </c>
      <c r="M1" s="1">
        <v>2000</v>
      </c>
      <c r="N1" s="1">
        <v>2001</v>
      </c>
      <c r="O1" s="1">
        <v>2002</v>
      </c>
      <c r="P1" s="1">
        <v>2003</v>
      </c>
      <c r="Q1" s="1">
        <v>2004</v>
      </c>
      <c r="R1" s="1">
        <v>2005</v>
      </c>
      <c r="S1" s="1">
        <v>2006</v>
      </c>
      <c r="T1" s="1">
        <v>2007</v>
      </c>
      <c r="U1" s="1">
        <v>2008</v>
      </c>
      <c r="V1" s="1">
        <v>2009</v>
      </c>
      <c r="W1" s="1">
        <v>2010</v>
      </c>
      <c r="X1" s="1">
        <v>2011</v>
      </c>
      <c r="Y1" s="1">
        <v>2012</v>
      </c>
      <c r="Z1" s="1">
        <v>2013</v>
      </c>
      <c r="AA1" s="1">
        <v>2014</v>
      </c>
      <c r="AB1" s="1">
        <v>2015</v>
      </c>
      <c r="AC1" s="1">
        <v>2016</v>
      </c>
    </row>
    <row r="2" spans="1:29" x14ac:dyDescent="0.2">
      <c r="A2" s="1" t="s">
        <v>27</v>
      </c>
      <c r="B2" s="1">
        <v>4414</v>
      </c>
      <c r="C2" s="1">
        <v>4454</v>
      </c>
      <c r="D2" s="1">
        <v>3271</v>
      </c>
      <c r="E2" s="1">
        <v>3143</v>
      </c>
      <c r="F2" s="1">
        <v>3451</v>
      </c>
      <c r="G2" s="1">
        <v>3721</v>
      </c>
      <c r="H2" s="1">
        <v>3992</v>
      </c>
      <c r="I2" s="1">
        <v>4294</v>
      </c>
      <c r="J2" s="1">
        <v>3799</v>
      </c>
      <c r="K2" s="1">
        <v>4150</v>
      </c>
      <c r="L2" s="1">
        <v>4723</v>
      </c>
      <c r="M2" s="1">
        <v>5097</v>
      </c>
      <c r="N2" s="1">
        <v>5574</v>
      </c>
      <c r="O2" s="1">
        <v>5883</v>
      </c>
      <c r="P2" s="1">
        <v>6265</v>
      </c>
      <c r="Q2" s="1">
        <v>6663</v>
      </c>
      <c r="R2" s="1">
        <v>7080</v>
      </c>
      <c r="S2" s="1">
        <v>7545</v>
      </c>
      <c r="T2" s="1">
        <v>8035</v>
      </c>
      <c r="U2" s="1">
        <v>8659</v>
      </c>
      <c r="V2" s="1">
        <v>8954</v>
      </c>
      <c r="W2" s="1">
        <v>9272</v>
      </c>
      <c r="X2" s="1">
        <v>9484</v>
      </c>
      <c r="Y2" s="1">
        <v>9592</v>
      </c>
      <c r="Z2" s="1">
        <v>9660</v>
      </c>
      <c r="AA2" s="1">
        <v>9808</v>
      </c>
      <c r="AB2" s="1">
        <v>10032</v>
      </c>
      <c r="AC2" s="1">
        <v>10342</v>
      </c>
    </row>
    <row r="3" spans="1:29" x14ac:dyDescent="0.2">
      <c r="A3" s="1" t="s">
        <v>23</v>
      </c>
      <c r="B3" s="1">
        <v>5524</v>
      </c>
      <c r="C3" s="1">
        <v>5075</v>
      </c>
      <c r="D3" s="1">
        <v>4406</v>
      </c>
      <c r="E3" s="1">
        <v>2623</v>
      </c>
      <c r="F3" s="1">
        <v>2377</v>
      </c>
      <c r="G3" s="1">
        <v>2607</v>
      </c>
      <c r="H3" s="1">
        <v>2878</v>
      </c>
      <c r="I3" s="1">
        <v>3036</v>
      </c>
      <c r="J3" s="1">
        <v>3147</v>
      </c>
      <c r="K3" s="1">
        <v>3351</v>
      </c>
      <c r="L3" s="1">
        <v>3460</v>
      </c>
      <c r="M3" s="1">
        <v>3667</v>
      </c>
      <c r="N3" s="1">
        <v>4015</v>
      </c>
      <c r="O3" s="1">
        <v>4614</v>
      </c>
      <c r="P3" s="1">
        <v>5275</v>
      </c>
      <c r="Q3" s="1">
        <v>5832</v>
      </c>
      <c r="R3" s="1">
        <v>6660</v>
      </c>
      <c r="S3" s="1">
        <v>7547</v>
      </c>
      <c r="T3" s="1">
        <v>8591</v>
      </c>
      <c r="U3" s="1">
        <v>9194</v>
      </c>
      <c r="V3" s="1">
        <v>7899</v>
      </c>
      <c r="W3" s="1">
        <v>8079</v>
      </c>
      <c r="X3" s="1">
        <v>8465</v>
      </c>
      <c r="Y3" s="1">
        <v>9077</v>
      </c>
      <c r="Z3" s="1">
        <v>9385</v>
      </c>
      <c r="AA3" s="1">
        <v>9735</v>
      </c>
      <c r="AB3" s="1">
        <v>10042</v>
      </c>
      <c r="AC3" s="1">
        <v>10080</v>
      </c>
    </row>
    <row r="4" spans="1:29" x14ac:dyDescent="0.2">
      <c r="A4" s="1" t="s">
        <v>29</v>
      </c>
      <c r="B4" s="1">
        <v>10534</v>
      </c>
      <c r="C4" s="1">
        <v>9250</v>
      </c>
      <c r="D4" s="1">
        <v>9060</v>
      </c>
      <c r="E4" s="1">
        <v>6906</v>
      </c>
      <c r="F4" s="1">
        <v>5229</v>
      </c>
      <c r="G4" s="1">
        <v>4140</v>
      </c>
      <c r="H4" s="1">
        <v>3557</v>
      </c>
      <c r="I4" s="1">
        <v>3608</v>
      </c>
      <c r="J4" s="1">
        <v>3887</v>
      </c>
      <c r="K4" s="1">
        <v>4079</v>
      </c>
      <c r="L4" s="1">
        <v>4500</v>
      </c>
      <c r="M4" s="1">
        <v>4739</v>
      </c>
      <c r="N4" s="1">
        <v>5005</v>
      </c>
      <c r="O4" s="1">
        <v>5372</v>
      </c>
      <c r="P4" s="1">
        <v>5890</v>
      </c>
      <c r="Q4" s="1">
        <v>6434</v>
      </c>
      <c r="R4" s="1">
        <v>8053</v>
      </c>
      <c r="S4" s="1">
        <v>10717</v>
      </c>
      <c r="T4" s="1">
        <v>13253</v>
      </c>
      <c r="U4" s="1">
        <v>14530</v>
      </c>
      <c r="V4" s="1">
        <v>15716</v>
      </c>
      <c r="W4" s="1">
        <v>16327</v>
      </c>
      <c r="X4" s="1">
        <v>16176</v>
      </c>
      <c r="Y4" s="1">
        <v>16359</v>
      </c>
      <c r="Z4" s="1">
        <v>17133</v>
      </c>
      <c r="AA4" s="1">
        <v>17439</v>
      </c>
      <c r="AB4" s="1">
        <v>17460</v>
      </c>
      <c r="AC4" s="1">
        <v>16645</v>
      </c>
    </row>
    <row r="5" spans="1:29" x14ac:dyDescent="0.2">
      <c r="A5" s="1" t="s">
        <v>3</v>
      </c>
      <c r="B5" s="1">
        <v>9317</v>
      </c>
      <c r="C5" s="1">
        <v>8984</v>
      </c>
      <c r="D5" s="1">
        <v>8854</v>
      </c>
      <c r="E5" s="1">
        <v>7987</v>
      </c>
      <c r="F5" s="1">
        <v>7363</v>
      </c>
      <c r="G5" s="1">
        <v>6510</v>
      </c>
      <c r="H5" s="1">
        <v>5807</v>
      </c>
      <c r="I5" s="1">
        <v>5988</v>
      </c>
      <c r="J5" s="1">
        <v>6701</v>
      </c>
      <c r="K5" s="1">
        <v>7292</v>
      </c>
      <c r="L5" s="1">
        <v>7558</v>
      </c>
      <c r="M5" s="1">
        <v>8018</v>
      </c>
      <c r="N5" s="1">
        <v>8424</v>
      </c>
      <c r="O5" s="1">
        <v>8890</v>
      </c>
      <c r="P5" s="1">
        <v>9561</v>
      </c>
      <c r="Q5" s="1">
        <v>10708</v>
      </c>
      <c r="R5" s="1">
        <v>11779</v>
      </c>
      <c r="S5" s="1">
        <v>13014</v>
      </c>
      <c r="T5" s="1">
        <v>14182</v>
      </c>
      <c r="U5" s="1">
        <v>15668</v>
      </c>
      <c r="V5" s="1">
        <v>15719</v>
      </c>
      <c r="W5" s="1">
        <v>16974</v>
      </c>
      <c r="X5" s="1">
        <v>17918</v>
      </c>
      <c r="Y5" s="1">
        <v>18251</v>
      </c>
      <c r="Z5" s="1">
        <v>18464</v>
      </c>
      <c r="AA5" s="1">
        <v>18822</v>
      </c>
      <c r="AB5" s="1">
        <v>18136</v>
      </c>
      <c r="AC5" s="1">
        <v>17628</v>
      </c>
    </row>
    <row r="6" spans="1:29" x14ac:dyDescent="0.2">
      <c r="A6" s="1" t="s">
        <v>36</v>
      </c>
      <c r="B6" s="1">
        <v>5200</v>
      </c>
      <c r="C6" s="1">
        <v>4565</v>
      </c>
      <c r="D6" s="1">
        <v>4023</v>
      </c>
      <c r="E6" s="1">
        <v>3041</v>
      </c>
      <c r="F6" s="1">
        <v>2275</v>
      </c>
      <c r="G6" s="1">
        <v>2454</v>
      </c>
      <c r="H6" s="1">
        <v>2666</v>
      </c>
      <c r="I6" s="1">
        <v>4096</v>
      </c>
      <c r="J6" s="1">
        <v>4988</v>
      </c>
      <c r="K6" s="1">
        <v>5627</v>
      </c>
      <c r="L6" s="1">
        <v>6073</v>
      </c>
      <c r="M6" s="1">
        <v>6196</v>
      </c>
      <c r="N6" s="1">
        <v>6314</v>
      </c>
      <c r="O6" s="1">
        <v>6626</v>
      </c>
      <c r="P6" s="1">
        <v>6852</v>
      </c>
      <c r="Q6" s="1">
        <v>7217</v>
      </c>
      <c r="R6" s="1">
        <v>7491</v>
      </c>
      <c r="S6" s="1">
        <v>7915</v>
      </c>
      <c r="T6" s="1">
        <v>8394</v>
      </c>
      <c r="U6" s="1">
        <v>8870</v>
      </c>
      <c r="V6" s="1">
        <v>8802</v>
      </c>
      <c r="W6" s="1">
        <v>8874</v>
      </c>
      <c r="X6" s="1">
        <v>8961</v>
      </c>
      <c r="Y6" s="1">
        <v>8873</v>
      </c>
      <c r="Z6" s="1">
        <v>9093</v>
      </c>
      <c r="AA6" s="1">
        <v>9201</v>
      </c>
      <c r="AB6" s="1">
        <v>9495</v>
      </c>
      <c r="AC6" s="1">
        <v>9746</v>
      </c>
    </row>
    <row r="7" spans="1:29" x14ac:dyDescent="0.2">
      <c r="A7" s="1" t="s">
        <v>22</v>
      </c>
      <c r="B7" s="1">
        <v>10802</v>
      </c>
      <c r="C7" s="1">
        <v>9726</v>
      </c>
      <c r="D7" s="1">
        <v>9033</v>
      </c>
      <c r="E7" s="1">
        <v>8484</v>
      </c>
      <c r="F7" s="1">
        <v>8571</v>
      </c>
      <c r="G7" s="1">
        <v>8807</v>
      </c>
      <c r="H7" s="1">
        <v>9149</v>
      </c>
      <c r="I7" s="1">
        <v>8404</v>
      </c>
      <c r="J7" s="1">
        <v>8398</v>
      </c>
      <c r="K7" s="1">
        <v>8779</v>
      </c>
      <c r="L7" s="1">
        <v>8323</v>
      </c>
      <c r="M7" s="1">
        <v>8800</v>
      </c>
      <c r="N7" s="1">
        <v>9203</v>
      </c>
      <c r="O7" s="1">
        <v>9829</v>
      </c>
      <c r="P7" s="1">
        <v>10418</v>
      </c>
      <c r="Q7" s="1">
        <v>11171</v>
      </c>
      <c r="R7" s="1">
        <v>12052</v>
      </c>
      <c r="S7" s="1">
        <v>12970</v>
      </c>
      <c r="T7" s="1">
        <v>14014</v>
      </c>
      <c r="U7" s="1">
        <v>14945</v>
      </c>
      <c r="V7" s="1">
        <v>14482</v>
      </c>
      <c r="W7" s="1">
        <v>14747</v>
      </c>
      <c r="X7" s="1">
        <v>15112</v>
      </c>
      <c r="Y7" s="1">
        <v>15204</v>
      </c>
      <c r="Z7" s="1">
        <v>15420</v>
      </c>
      <c r="AA7" s="1">
        <v>15711</v>
      </c>
      <c r="AB7" s="1">
        <v>16373</v>
      </c>
      <c r="AC7" s="1">
        <v>17037</v>
      </c>
    </row>
    <row r="8" spans="1:29" x14ac:dyDescent="0.2">
      <c r="A8" s="1" t="s">
        <v>12</v>
      </c>
      <c r="B8" s="1">
        <v>19141</v>
      </c>
      <c r="C8" s="1">
        <v>17755</v>
      </c>
      <c r="D8" s="1">
        <v>13909</v>
      </c>
      <c r="E8" s="1">
        <v>12418</v>
      </c>
      <c r="F8" s="1">
        <v>11456</v>
      </c>
      <c r="G8" s="1">
        <v>12076</v>
      </c>
      <c r="H8" s="1">
        <v>12950</v>
      </c>
      <c r="I8" s="1">
        <v>13820</v>
      </c>
      <c r="J8" s="1">
        <v>14808</v>
      </c>
      <c r="K8" s="1">
        <v>15169</v>
      </c>
      <c r="L8" s="1">
        <v>15068</v>
      </c>
      <c r="M8" s="1">
        <v>15627</v>
      </c>
      <c r="N8" s="1">
        <v>16060</v>
      </c>
      <c r="O8" s="1">
        <v>16812</v>
      </c>
      <c r="P8" s="1">
        <v>17752</v>
      </c>
      <c r="Q8" s="1">
        <v>18474</v>
      </c>
      <c r="R8" s="1">
        <v>19241</v>
      </c>
      <c r="S8" s="1">
        <v>20168</v>
      </c>
      <c r="T8" s="1">
        <v>21223</v>
      </c>
      <c r="U8" s="1">
        <v>21673</v>
      </c>
      <c r="V8" s="1">
        <v>20097</v>
      </c>
      <c r="W8" s="1">
        <v>19807</v>
      </c>
      <c r="X8" s="1">
        <v>19813</v>
      </c>
      <c r="Y8" s="1">
        <v>19441</v>
      </c>
      <c r="Z8" s="1">
        <v>19298</v>
      </c>
      <c r="AA8" s="1">
        <v>19284</v>
      </c>
      <c r="AB8" s="1">
        <v>19698</v>
      </c>
      <c r="AC8" s="1">
        <v>20376</v>
      </c>
    </row>
    <row r="9" spans="1:29" x14ac:dyDescent="0.2">
      <c r="A9" s="1" t="s">
        <v>37</v>
      </c>
      <c r="B9" s="1">
        <v>18318</v>
      </c>
      <c r="C9" s="1">
        <v>18517</v>
      </c>
      <c r="D9" s="1">
        <v>16409</v>
      </c>
      <c r="E9" s="1">
        <v>16310</v>
      </c>
      <c r="F9" s="1">
        <v>16309</v>
      </c>
      <c r="G9" s="1">
        <v>16778</v>
      </c>
      <c r="H9" s="1">
        <v>17832</v>
      </c>
      <c r="I9" s="1">
        <v>18618</v>
      </c>
      <c r="J9" s="1">
        <v>18512</v>
      </c>
      <c r="K9" s="1">
        <v>18471</v>
      </c>
      <c r="L9" s="1">
        <v>18756</v>
      </c>
      <c r="M9" s="1">
        <v>19616</v>
      </c>
      <c r="N9" s="1">
        <v>20291</v>
      </c>
      <c r="O9" s="1">
        <v>20665</v>
      </c>
      <c r="P9" s="1">
        <v>21415</v>
      </c>
      <c r="Q9" s="1">
        <v>22468</v>
      </c>
      <c r="R9" s="1">
        <v>23882</v>
      </c>
      <c r="S9" s="1">
        <v>25456</v>
      </c>
      <c r="T9" s="1">
        <v>26707</v>
      </c>
      <c r="U9" s="1">
        <v>27204</v>
      </c>
      <c r="V9" s="1">
        <v>25740</v>
      </c>
      <c r="W9" s="1">
        <v>26254</v>
      </c>
      <c r="X9" s="1">
        <v>26725</v>
      </c>
      <c r="Y9" s="1">
        <v>26474</v>
      </c>
      <c r="Z9" s="1">
        <v>26338</v>
      </c>
      <c r="AA9" s="1">
        <v>27024</v>
      </c>
      <c r="AB9" s="1">
        <v>28194</v>
      </c>
      <c r="AC9" s="1">
        <v>28823</v>
      </c>
    </row>
    <row r="10" spans="1:29" x14ac:dyDescent="0.2">
      <c r="A10" s="1" t="s">
        <v>13</v>
      </c>
      <c r="B10" s="1">
        <v>13382</v>
      </c>
      <c r="C10" s="1">
        <v>12291</v>
      </c>
      <c r="D10" s="1">
        <v>11117</v>
      </c>
      <c r="E10" s="1">
        <v>9726</v>
      </c>
      <c r="F10" s="1">
        <v>9131</v>
      </c>
      <c r="G10" s="1">
        <v>9175</v>
      </c>
      <c r="H10" s="1">
        <v>9951</v>
      </c>
      <c r="I10" s="1">
        <v>10636</v>
      </c>
      <c r="J10" s="1">
        <v>12027</v>
      </c>
      <c r="K10" s="1">
        <v>12643</v>
      </c>
      <c r="L10" s="1">
        <v>12636</v>
      </c>
      <c r="M10" s="1">
        <v>14074</v>
      </c>
      <c r="N10" s="1">
        <v>15060</v>
      </c>
      <c r="O10" s="1">
        <v>16077</v>
      </c>
      <c r="P10" s="1">
        <v>17378</v>
      </c>
      <c r="Q10" s="1">
        <v>18582</v>
      </c>
      <c r="R10" s="1">
        <v>20441</v>
      </c>
      <c r="S10" s="1">
        <v>22674</v>
      </c>
      <c r="T10" s="1">
        <v>24542</v>
      </c>
      <c r="U10" s="1">
        <v>23275</v>
      </c>
      <c r="V10" s="1">
        <v>19886</v>
      </c>
      <c r="W10" s="1">
        <v>20382</v>
      </c>
      <c r="X10" s="1">
        <v>21997</v>
      </c>
      <c r="Y10" s="1">
        <v>23026</v>
      </c>
      <c r="Z10" s="1">
        <v>23436</v>
      </c>
      <c r="AA10" s="1">
        <v>24146</v>
      </c>
      <c r="AB10" s="1">
        <v>24493</v>
      </c>
      <c r="AC10" s="1">
        <v>24857</v>
      </c>
    </row>
    <row r="11" spans="1:29" x14ac:dyDescent="0.2">
      <c r="A11" s="1" t="s">
        <v>26</v>
      </c>
      <c r="B11" s="1">
        <v>12834</v>
      </c>
      <c r="C11" s="1">
        <v>11003</v>
      </c>
      <c r="D11" s="1">
        <v>8682</v>
      </c>
      <c r="E11" s="1">
        <v>4837</v>
      </c>
      <c r="F11" s="1">
        <v>3486</v>
      </c>
      <c r="G11" s="1">
        <v>3198</v>
      </c>
      <c r="H11" s="1">
        <v>3350</v>
      </c>
      <c r="I11" s="1">
        <v>3757</v>
      </c>
      <c r="J11" s="1">
        <v>4196</v>
      </c>
      <c r="K11" s="1">
        <v>4347</v>
      </c>
      <c r="L11" s="1">
        <v>4503</v>
      </c>
      <c r="M11" s="1">
        <v>4646</v>
      </c>
      <c r="N11" s="1">
        <v>4891</v>
      </c>
      <c r="O11" s="1">
        <v>5184</v>
      </c>
      <c r="P11" s="1">
        <v>5792</v>
      </c>
      <c r="Q11" s="1">
        <v>6138</v>
      </c>
      <c r="R11" s="1">
        <v>6660</v>
      </c>
      <c r="S11" s="1">
        <v>7227</v>
      </c>
      <c r="T11" s="1">
        <v>8146</v>
      </c>
      <c r="U11" s="1">
        <v>8344</v>
      </c>
      <c r="V11" s="1">
        <v>7987</v>
      </c>
      <c r="W11" s="1">
        <v>8404</v>
      </c>
      <c r="X11" s="1">
        <v>8946</v>
      </c>
      <c r="Y11" s="1">
        <v>9491</v>
      </c>
      <c r="Z11" s="1">
        <v>9829</v>
      </c>
      <c r="AA11" s="1">
        <v>10297</v>
      </c>
      <c r="AB11" s="1">
        <v>10603</v>
      </c>
      <c r="AC11" s="1">
        <v>10899</v>
      </c>
    </row>
    <row r="12" spans="1:29" x14ac:dyDescent="0.2">
      <c r="A12" s="1" t="s">
        <v>9</v>
      </c>
      <c r="B12" s="1">
        <v>16797</v>
      </c>
      <c r="C12" s="1">
        <v>15716</v>
      </c>
      <c r="D12" s="1">
        <v>13847</v>
      </c>
      <c r="E12" s="1">
        <v>13423</v>
      </c>
      <c r="F12" s="1">
        <v>13357</v>
      </c>
      <c r="G12" s="1">
        <v>13764</v>
      </c>
      <c r="H12" s="1">
        <v>13989</v>
      </c>
      <c r="I12" s="1">
        <v>14014</v>
      </c>
      <c r="J12" s="1">
        <v>14507</v>
      </c>
      <c r="K12" s="1">
        <v>15154</v>
      </c>
      <c r="L12" s="1">
        <v>15684</v>
      </c>
      <c r="M12" s="1">
        <v>16386</v>
      </c>
      <c r="N12" s="1">
        <v>17043</v>
      </c>
      <c r="O12" s="1">
        <v>17861</v>
      </c>
      <c r="P12" s="1">
        <v>18598</v>
      </c>
      <c r="Q12" s="1">
        <v>19573</v>
      </c>
      <c r="R12" s="1">
        <v>20471</v>
      </c>
      <c r="S12" s="1">
        <v>21293</v>
      </c>
      <c r="T12" s="1">
        <v>21422</v>
      </c>
      <c r="U12" s="1">
        <v>21650</v>
      </c>
      <c r="V12" s="1">
        <v>20261</v>
      </c>
      <c r="W12" s="1">
        <v>20444</v>
      </c>
      <c r="X12" s="1">
        <v>20886</v>
      </c>
      <c r="Y12" s="1">
        <v>20631</v>
      </c>
      <c r="Z12" s="1">
        <v>21126</v>
      </c>
      <c r="AA12" s="1">
        <v>22040</v>
      </c>
      <c r="AB12" s="1">
        <v>22788</v>
      </c>
      <c r="AC12" s="1">
        <v>23279</v>
      </c>
    </row>
    <row r="13" spans="1:29" x14ac:dyDescent="0.2">
      <c r="A13" s="1" t="s">
        <v>7</v>
      </c>
      <c r="B13" s="1">
        <v>13589</v>
      </c>
      <c r="C13" s="1">
        <v>13292</v>
      </c>
      <c r="D13" s="1">
        <v>11741</v>
      </c>
      <c r="E13" s="1">
        <v>11078</v>
      </c>
      <c r="F13" s="1">
        <v>10096</v>
      </c>
      <c r="G13" s="1">
        <v>8953</v>
      </c>
      <c r="H13" s="1">
        <v>8356</v>
      </c>
      <c r="I13" s="1">
        <v>8477</v>
      </c>
      <c r="J13" s="1">
        <v>8720</v>
      </c>
      <c r="K13" s="1">
        <v>8668</v>
      </c>
      <c r="L13" s="1">
        <v>8977</v>
      </c>
      <c r="M13" s="1">
        <v>9870</v>
      </c>
      <c r="N13" s="1">
        <v>11167</v>
      </c>
      <c r="O13" s="1">
        <v>12211</v>
      </c>
      <c r="P13" s="1">
        <v>13279</v>
      </c>
      <c r="Q13" s="1">
        <v>14458</v>
      </c>
      <c r="R13" s="1">
        <v>15728</v>
      </c>
      <c r="S13" s="1">
        <v>17239</v>
      </c>
      <c r="T13" s="1">
        <v>18572</v>
      </c>
      <c r="U13" s="1">
        <v>18966</v>
      </c>
      <c r="V13" s="1">
        <v>18951</v>
      </c>
      <c r="W13" s="1">
        <v>20071</v>
      </c>
      <c r="X13" s="1">
        <v>21302</v>
      </c>
      <c r="Y13" s="1">
        <v>22089</v>
      </c>
      <c r="Z13" s="1">
        <v>23131</v>
      </c>
      <c r="AA13" s="1">
        <v>23841</v>
      </c>
      <c r="AB13" s="1">
        <v>23850</v>
      </c>
      <c r="AC13" s="1">
        <v>23842</v>
      </c>
    </row>
    <row r="14" spans="1:29" x14ac:dyDescent="0.2">
      <c r="A14" s="1" t="s">
        <v>14</v>
      </c>
      <c r="B14" s="1">
        <v>4635</v>
      </c>
      <c r="C14" s="1">
        <v>4653</v>
      </c>
      <c r="D14" s="1">
        <v>4224</v>
      </c>
      <c r="E14" s="1">
        <v>3606</v>
      </c>
      <c r="F14" s="1">
        <v>3144</v>
      </c>
      <c r="G14" s="1">
        <v>2525</v>
      </c>
      <c r="H14" s="1">
        <v>2365</v>
      </c>
      <c r="I14" s="1">
        <v>2497</v>
      </c>
      <c r="J14" s="1">
        <v>2707</v>
      </c>
      <c r="K14" s="1">
        <v>2727</v>
      </c>
      <c r="L14" s="1">
        <v>2788</v>
      </c>
      <c r="M14" s="1">
        <v>2908</v>
      </c>
      <c r="N14" s="1">
        <v>3038</v>
      </c>
      <c r="O14" s="1">
        <v>3015</v>
      </c>
      <c r="P14" s="1">
        <v>3198</v>
      </c>
      <c r="Q14" s="1">
        <v>3386</v>
      </c>
      <c r="R14" s="1">
        <v>3347</v>
      </c>
      <c r="S14" s="1">
        <v>3419</v>
      </c>
      <c r="T14" s="1">
        <v>3681</v>
      </c>
      <c r="U14" s="1">
        <v>3927</v>
      </c>
      <c r="V14" s="1">
        <v>3995</v>
      </c>
      <c r="W14" s="1">
        <v>3938</v>
      </c>
      <c r="X14" s="1">
        <v>4142</v>
      </c>
      <c r="Y14" s="1">
        <v>4104</v>
      </c>
      <c r="Z14" s="1">
        <v>4509</v>
      </c>
      <c r="AA14" s="1">
        <v>4644</v>
      </c>
      <c r="AB14" s="1">
        <v>4754</v>
      </c>
      <c r="AC14" s="1">
        <v>4879</v>
      </c>
    </row>
    <row r="15" spans="1:29" x14ac:dyDescent="0.2">
      <c r="A15" s="1" t="s">
        <v>20</v>
      </c>
      <c r="B15" s="1">
        <v>13343</v>
      </c>
      <c r="C15" s="1">
        <v>13467</v>
      </c>
      <c r="D15" s="1">
        <v>11826</v>
      </c>
      <c r="E15" s="1">
        <v>8141</v>
      </c>
      <c r="F15" s="1">
        <v>7357</v>
      </c>
      <c r="G15" s="1">
        <v>7645</v>
      </c>
      <c r="H15" s="1">
        <v>7709</v>
      </c>
      <c r="I15" s="1">
        <v>7980</v>
      </c>
      <c r="J15" s="1">
        <v>8783</v>
      </c>
      <c r="K15" s="1">
        <v>9445</v>
      </c>
      <c r="L15" s="1">
        <v>9771</v>
      </c>
      <c r="M15" s="1">
        <v>10399</v>
      </c>
      <c r="N15" s="1">
        <v>11215</v>
      </c>
      <c r="O15" s="1">
        <v>12152</v>
      </c>
      <c r="P15" s="1">
        <v>13305</v>
      </c>
      <c r="Q15" s="1">
        <v>14572</v>
      </c>
      <c r="R15" s="1">
        <v>16306</v>
      </c>
      <c r="S15" s="1">
        <v>18413</v>
      </c>
      <c r="T15" s="1">
        <v>20410</v>
      </c>
      <c r="U15" s="1">
        <v>19882</v>
      </c>
      <c r="V15" s="1">
        <v>17316</v>
      </c>
      <c r="W15" s="1">
        <v>17010</v>
      </c>
      <c r="X15" s="1">
        <v>18428</v>
      </c>
      <c r="Y15" s="1">
        <v>19405</v>
      </c>
      <c r="Z15" s="1">
        <v>20129</v>
      </c>
      <c r="AA15" s="1">
        <v>20751</v>
      </c>
      <c r="AB15" s="1">
        <v>21488</v>
      </c>
      <c r="AC15" s="1">
        <v>22092</v>
      </c>
    </row>
    <row r="16" spans="1:29" x14ac:dyDescent="0.2">
      <c r="A16" s="1" t="s">
        <v>21</v>
      </c>
      <c r="B16" s="1">
        <v>14665</v>
      </c>
      <c r="C16" s="1">
        <v>13783</v>
      </c>
      <c r="D16" s="1">
        <v>12975</v>
      </c>
      <c r="E16" s="1">
        <v>10222</v>
      </c>
      <c r="F16" s="1">
        <v>8607</v>
      </c>
      <c r="G16" s="1">
        <v>7818</v>
      </c>
      <c r="H16" s="1">
        <v>8288</v>
      </c>
      <c r="I16" s="1">
        <v>8781</v>
      </c>
      <c r="J16" s="1">
        <v>9580</v>
      </c>
      <c r="K16" s="1">
        <v>10370</v>
      </c>
      <c r="L16" s="1">
        <v>10325</v>
      </c>
      <c r="M16" s="1">
        <v>10796</v>
      </c>
      <c r="N16" s="1">
        <v>11596</v>
      </c>
      <c r="O16" s="1">
        <v>12480</v>
      </c>
      <c r="P16" s="1">
        <v>13907</v>
      </c>
      <c r="Q16" s="1">
        <v>14986</v>
      </c>
      <c r="R16" s="1">
        <v>16409</v>
      </c>
      <c r="S16" s="1">
        <v>17908</v>
      </c>
      <c r="T16" s="1">
        <v>20131</v>
      </c>
      <c r="U16" s="1">
        <v>20874</v>
      </c>
      <c r="V16" s="1">
        <v>17980</v>
      </c>
      <c r="W16" s="1">
        <v>18662</v>
      </c>
      <c r="X16" s="1">
        <v>20243</v>
      </c>
      <c r="Y16" s="1">
        <v>21303</v>
      </c>
      <c r="Z16" s="1">
        <v>22274</v>
      </c>
      <c r="AA16" s="1">
        <v>23252</v>
      </c>
      <c r="AB16" s="1">
        <v>23889</v>
      </c>
      <c r="AC16" s="1">
        <v>24743</v>
      </c>
    </row>
    <row r="17" spans="1:29" x14ac:dyDescent="0.2">
      <c r="A17" s="1" t="s">
        <v>15</v>
      </c>
      <c r="B17" s="1">
        <v>11258</v>
      </c>
      <c r="C17" s="1">
        <v>10118</v>
      </c>
      <c r="D17" s="1">
        <v>9459</v>
      </c>
      <c r="E17" s="1">
        <v>8733</v>
      </c>
      <c r="F17" s="1">
        <v>7960</v>
      </c>
      <c r="G17" s="1">
        <v>7746</v>
      </c>
      <c r="H17" s="1">
        <v>7586</v>
      </c>
      <c r="I17" s="1">
        <v>7611</v>
      </c>
      <c r="J17" s="1">
        <v>7664</v>
      </c>
      <c r="K17" s="1">
        <v>7876</v>
      </c>
      <c r="L17" s="1">
        <v>8178</v>
      </c>
      <c r="M17" s="1">
        <v>8510</v>
      </c>
      <c r="N17" s="1">
        <v>8210</v>
      </c>
      <c r="O17" s="1">
        <v>8306</v>
      </c>
      <c r="P17" s="1">
        <v>8471</v>
      </c>
      <c r="Q17" s="1">
        <v>8846</v>
      </c>
      <c r="R17" s="1">
        <v>9240</v>
      </c>
      <c r="S17" s="1">
        <v>9690</v>
      </c>
      <c r="T17" s="1">
        <v>10290</v>
      </c>
      <c r="U17" s="1">
        <v>10825</v>
      </c>
      <c r="V17" s="1">
        <v>10758</v>
      </c>
      <c r="W17" s="1">
        <v>11090</v>
      </c>
      <c r="X17" s="1">
        <v>11321</v>
      </c>
      <c r="Y17" s="1">
        <v>11242</v>
      </c>
      <c r="Z17" s="1">
        <v>11544</v>
      </c>
      <c r="AA17" s="1">
        <v>11937</v>
      </c>
      <c r="AB17" s="1">
        <v>12371</v>
      </c>
      <c r="AC17" s="1">
        <v>12644</v>
      </c>
    </row>
    <row r="18" spans="1:29" x14ac:dyDescent="0.2">
      <c r="A18" s="1" t="s">
        <v>16</v>
      </c>
      <c r="B18" s="1">
        <v>7050</v>
      </c>
      <c r="C18" s="1">
        <v>6740</v>
      </c>
      <c r="D18" s="1">
        <v>5552</v>
      </c>
      <c r="E18" s="1">
        <v>3941</v>
      </c>
      <c r="F18" s="1">
        <v>3894</v>
      </c>
      <c r="G18" s="1">
        <v>2697</v>
      </c>
      <c r="H18" s="1">
        <v>2668</v>
      </c>
      <c r="I18" s="1">
        <v>2524</v>
      </c>
      <c r="J18" s="1">
        <v>2583</v>
      </c>
      <c r="K18" s="1">
        <v>2436</v>
      </c>
      <c r="L18" s="1">
        <v>2377</v>
      </c>
      <c r="M18" s="1">
        <v>2453</v>
      </c>
      <c r="N18" s="1">
        <v>2632</v>
      </c>
      <c r="O18" s="1">
        <v>2869</v>
      </c>
      <c r="P18" s="1">
        <v>3096</v>
      </c>
      <c r="Q18" s="1">
        <v>3362</v>
      </c>
      <c r="R18" s="1">
        <v>3657</v>
      </c>
      <c r="S18" s="1">
        <v>3878</v>
      </c>
      <c r="T18" s="1">
        <v>4041</v>
      </c>
      <c r="U18" s="1">
        <v>4408</v>
      </c>
      <c r="V18" s="1">
        <v>4189</v>
      </c>
      <c r="W18" s="1">
        <v>4533</v>
      </c>
      <c r="X18" s="1">
        <v>4892</v>
      </c>
      <c r="Y18" s="1">
        <v>4905</v>
      </c>
      <c r="Z18" s="1">
        <v>5421</v>
      </c>
      <c r="AA18" s="1">
        <v>5739</v>
      </c>
      <c r="AB18" s="1">
        <v>5775</v>
      </c>
      <c r="AC18" s="1">
        <v>6068</v>
      </c>
    </row>
    <row r="19" spans="1:29" x14ac:dyDescent="0.2">
      <c r="A19" s="1" t="s">
        <v>24</v>
      </c>
      <c r="B19" s="1">
        <v>17825</v>
      </c>
      <c r="C19" s="1">
        <v>16175</v>
      </c>
      <c r="D19" s="1">
        <v>14240</v>
      </c>
      <c r="E19" s="1">
        <v>10354</v>
      </c>
      <c r="F19" s="1">
        <v>6425</v>
      </c>
      <c r="G19" s="1">
        <v>6347</v>
      </c>
      <c r="H19" s="1">
        <v>7067</v>
      </c>
      <c r="I19" s="1">
        <v>8841</v>
      </c>
      <c r="J19" s="1">
        <v>9304</v>
      </c>
      <c r="K19" s="1">
        <v>9613</v>
      </c>
      <c r="L19" s="1">
        <v>8579</v>
      </c>
      <c r="M19" s="1">
        <v>9666</v>
      </c>
      <c r="N19" s="1">
        <v>9850</v>
      </c>
      <c r="O19" s="1">
        <v>10125</v>
      </c>
      <c r="P19" s="1">
        <v>10472</v>
      </c>
      <c r="Q19" s="1">
        <v>11045</v>
      </c>
      <c r="R19" s="1">
        <v>11627</v>
      </c>
      <c r="S19" s="1">
        <v>12758</v>
      </c>
      <c r="T19" s="1">
        <v>14265</v>
      </c>
      <c r="U19" s="1">
        <v>15400</v>
      </c>
      <c r="V19" s="1">
        <v>14658</v>
      </c>
      <c r="W19" s="1">
        <v>15142</v>
      </c>
      <c r="X19" s="1">
        <v>15747</v>
      </c>
      <c r="Y19" s="1">
        <v>15421</v>
      </c>
      <c r="Z19" s="1">
        <v>16064</v>
      </c>
      <c r="AA19" s="1">
        <v>16437</v>
      </c>
      <c r="AB19" s="1">
        <v>17249</v>
      </c>
      <c r="AC19" s="1">
        <v>17741</v>
      </c>
    </row>
    <row r="20" spans="1:29" x14ac:dyDescent="0.2">
      <c r="A20" s="1" t="s">
        <v>11</v>
      </c>
      <c r="B20" s="1">
        <v>11056</v>
      </c>
      <c r="C20" s="1">
        <v>9947</v>
      </c>
      <c r="D20" s="1">
        <v>9218</v>
      </c>
      <c r="E20" s="1">
        <v>9428</v>
      </c>
      <c r="F20" s="1">
        <v>9762</v>
      </c>
      <c r="G20" s="1">
        <v>10248</v>
      </c>
      <c r="H20" s="1">
        <v>10950</v>
      </c>
      <c r="I20" s="1">
        <v>11604</v>
      </c>
      <c r="J20" s="1">
        <v>12346</v>
      </c>
      <c r="K20" s="1">
        <v>12911</v>
      </c>
      <c r="L20" s="1">
        <v>13512</v>
      </c>
      <c r="M20" s="1">
        <v>14132</v>
      </c>
      <c r="N20" s="1">
        <v>14312</v>
      </c>
      <c r="O20" s="1">
        <v>14611</v>
      </c>
      <c r="P20" s="1">
        <v>15142</v>
      </c>
      <c r="Q20" s="1">
        <v>15929</v>
      </c>
      <c r="R20" s="1">
        <v>16493</v>
      </c>
      <c r="S20" s="1">
        <v>17523</v>
      </c>
      <c r="T20" s="1">
        <v>18766</v>
      </c>
      <c r="U20" s="1">
        <v>19560</v>
      </c>
      <c r="V20" s="1">
        <v>20096</v>
      </c>
      <c r="W20" s="1">
        <v>20805</v>
      </c>
      <c r="X20" s="1">
        <v>21837</v>
      </c>
      <c r="Y20" s="1">
        <v>22188</v>
      </c>
      <c r="Z20" s="1">
        <v>22510</v>
      </c>
      <c r="AA20" s="1">
        <v>23266</v>
      </c>
      <c r="AB20" s="1">
        <v>24177</v>
      </c>
      <c r="AC20" s="1">
        <v>24838</v>
      </c>
    </row>
    <row r="21" spans="1:29" x14ac:dyDescent="0.2">
      <c r="A21" s="1" t="s">
        <v>17</v>
      </c>
      <c r="B21" s="1">
        <v>11567</v>
      </c>
      <c r="C21" s="1">
        <v>10893</v>
      </c>
      <c r="D21" s="1">
        <v>9492</v>
      </c>
      <c r="E21" s="1">
        <v>8803</v>
      </c>
      <c r="F21" s="1">
        <v>8948</v>
      </c>
      <c r="G21" s="1">
        <v>9306</v>
      </c>
      <c r="H21" s="1">
        <v>9991</v>
      </c>
      <c r="I21" s="1">
        <v>10422</v>
      </c>
      <c r="J21" s="1">
        <v>10050</v>
      </c>
      <c r="K21" s="1">
        <v>9677</v>
      </c>
      <c r="L21" s="1">
        <v>9677</v>
      </c>
      <c r="M21" s="1">
        <v>10050</v>
      </c>
      <c r="N21" s="1">
        <v>10794</v>
      </c>
      <c r="O21" s="1">
        <v>11539</v>
      </c>
      <c r="P21" s="1">
        <v>12075</v>
      </c>
      <c r="Q21" s="1">
        <v>13149</v>
      </c>
      <c r="R21" s="1">
        <v>13685</v>
      </c>
      <c r="S21" s="1">
        <v>15027</v>
      </c>
      <c r="T21" s="1">
        <v>16369</v>
      </c>
      <c r="U21" s="1">
        <v>17979</v>
      </c>
      <c r="V21" s="1">
        <v>16905</v>
      </c>
      <c r="W21" s="1">
        <v>16905</v>
      </c>
      <c r="X21" s="1">
        <v>17174</v>
      </c>
      <c r="Y21" s="1">
        <v>17174</v>
      </c>
      <c r="Z21" s="1">
        <v>17979</v>
      </c>
      <c r="AA21" s="1">
        <v>18515</v>
      </c>
      <c r="AB21" s="1">
        <v>19320</v>
      </c>
      <c r="AC21" s="1">
        <v>17782</v>
      </c>
    </row>
    <row r="22" spans="1:29" x14ac:dyDescent="0.2">
      <c r="A22" s="1" t="s">
        <v>38</v>
      </c>
      <c r="B22" s="1">
        <v>20613</v>
      </c>
      <c r="C22" s="1">
        <v>20020</v>
      </c>
      <c r="D22" s="1">
        <v>18958</v>
      </c>
      <c r="E22" s="1">
        <v>16178</v>
      </c>
      <c r="F22" s="1">
        <v>14760</v>
      </c>
      <c r="G22" s="1">
        <v>12887</v>
      </c>
      <c r="H22" s="1">
        <v>12369</v>
      </c>
      <c r="I22" s="1">
        <v>11940</v>
      </c>
      <c r="J22" s="1">
        <v>12130</v>
      </c>
      <c r="K22" s="1">
        <v>11512</v>
      </c>
      <c r="L22" s="1">
        <v>12281</v>
      </c>
      <c r="M22" s="1">
        <v>13563</v>
      </c>
      <c r="N22" s="1">
        <v>14311</v>
      </c>
      <c r="O22" s="1">
        <v>15054</v>
      </c>
      <c r="P22" s="1">
        <v>16228</v>
      </c>
      <c r="Q22" s="1">
        <v>17458</v>
      </c>
      <c r="R22" s="1">
        <v>18626</v>
      </c>
      <c r="S22" s="1">
        <v>20184</v>
      </c>
      <c r="T22" s="1">
        <v>21931</v>
      </c>
      <c r="U22" s="1">
        <v>23091</v>
      </c>
      <c r="V22" s="1">
        <v>21285</v>
      </c>
      <c r="W22" s="1">
        <v>22239</v>
      </c>
      <c r="X22" s="1">
        <v>23130</v>
      </c>
      <c r="Y22" s="1">
        <v>23931</v>
      </c>
      <c r="Z22" s="1">
        <v>24224</v>
      </c>
      <c r="AA22" s="1">
        <v>24387</v>
      </c>
      <c r="AB22" s="1">
        <v>23691</v>
      </c>
      <c r="AC22" s="1">
        <v>23635</v>
      </c>
    </row>
    <row r="23" spans="1:29" x14ac:dyDescent="0.2">
      <c r="A23" s="1" t="s">
        <v>19</v>
      </c>
      <c r="B23" s="1">
        <v>17350</v>
      </c>
      <c r="C23" s="1">
        <v>15435</v>
      </c>
      <c r="D23" s="1">
        <v>13715</v>
      </c>
      <c r="E23" s="1">
        <v>9950</v>
      </c>
      <c r="F23" s="1">
        <v>6926</v>
      </c>
      <c r="G23" s="1">
        <v>7120</v>
      </c>
      <c r="H23" s="1">
        <v>7556</v>
      </c>
      <c r="I23" s="1">
        <v>7926</v>
      </c>
      <c r="J23" s="1">
        <v>8540</v>
      </c>
      <c r="K23" s="1">
        <v>8775</v>
      </c>
      <c r="L23" s="1">
        <v>7192</v>
      </c>
      <c r="M23" s="1">
        <v>7707</v>
      </c>
      <c r="N23" s="1">
        <v>8142</v>
      </c>
      <c r="O23" s="1">
        <v>8712</v>
      </c>
      <c r="P23" s="1">
        <v>9098</v>
      </c>
      <c r="Q23" s="1">
        <v>9920</v>
      </c>
      <c r="R23" s="1">
        <v>10488</v>
      </c>
      <c r="S23" s="1">
        <v>11046</v>
      </c>
      <c r="T23" s="1">
        <v>11753</v>
      </c>
      <c r="U23" s="1">
        <v>12440</v>
      </c>
      <c r="V23" s="1">
        <v>12094</v>
      </c>
      <c r="W23" s="1">
        <v>12228</v>
      </c>
      <c r="X23" s="1">
        <v>12463</v>
      </c>
      <c r="Y23" s="1">
        <v>12384</v>
      </c>
      <c r="Z23" s="1">
        <v>12764</v>
      </c>
      <c r="AA23" s="1">
        <v>12606</v>
      </c>
      <c r="AB23" s="1">
        <v>12765</v>
      </c>
      <c r="AC23" s="1">
        <v>13184</v>
      </c>
    </row>
    <row r="24" spans="1:29" x14ac:dyDescent="0.2">
      <c r="A24" s="1" t="s">
        <v>4</v>
      </c>
      <c r="B24" s="1">
        <v>12172</v>
      </c>
      <c r="C24" s="1">
        <v>11828</v>
      </c>
      <c r="D24" s="1">
        <v>10093</v>
      </c>
      <c r="E24" s="1">
        <v>9444</v>
      </c>
      <c r="F24" s="1">
        <v>10083</v>
      </c>
      <c r="G24" s="1">
        <v>10667</v>
      </c>
      <c r="H24" s="1">
        <v>11473</v>
      </c>
      <c r="I24" s="1">
        <v>12222</v>
      </c>
      <c r="J24" s="1">
        <v>12940</v>
      </c>
      <c r="K24" s="1">
        <v>13441</v>
      </c>
      <c r="L24" s="1">
        <v>13400</v>
      </c>
      <c r="M24" s="1">
        <v>13580</v>
      </c>
      <c r="N24" s="1">
        <v>14056</v>
      </c>
      <c r="O24" s="1">
        <v>14697</v>
      </c>
      <c r="P24" s="1">
        <v>15504</v>
      </c>
      <c r="Q24" s="1">
        <v>16323</v>
      </c>
      <c r="R24" s="1">
        <v>17423</v>
      </c>
      <c r="S24" s="1">
        <v>18895</v>
      </c>
      <c r="T24" s="1">
        <v>20929</v>
      </c>
      <c r="U24" s="1">
        <v>22089</v>
      </c>
      <c r="V24" s="1">
        <v>20863</v>
      </c>
      <c r="W24" s="1">
        <v>21894</v>
      </c>
      <c r="X24" s="1">
        <v>22483</v>
      </c>
      <c r="Y24" s="1">
        <v>22816</v>
      </c>
      <c r="Z24" s="1">
        <v>23132</v>
      </c>
      <c r="AA24" s="1">
        <v>23703</v>
      </c>
      <c r="AB24" s="1">
        <v>24588</v>
      </c>
      <c r="AC24" s="1">
        <v>25364</v>
      </c>
    </row>
    <row r="25" spans="1:29" x14ac:dyDescent="0.2">
      <c r="A25" s="1" t="s">
        <v>6</v>
      </c>
      <c r="B25" s="1">
        <v>18134</v>
      </c>
      <c r="C25" s="1">
        <v>16540</v>
      </c>
      <c r="D25" s="1">
        <v>15058</v>
      </c>
      <c r="E25" s="1">
        <v>14256</v>
      </c>
      <c r="F25" s="1">
        <v>14697</v>
      </c>
      <c r="G25" s="1">
        <v>15497</v>
      </c>
      <c r="H25" s="1">
        <v>16639</v>
      </c>
      <c r="I25" s="1">
        <v>17235</v>
      </c>
      <c r="J25" s="1">
        <v>18141</v>
      </c>
      <c r="K25" s="1">
        <v>18778</v>
      </c>
      <c r="L25" s="1">
        <v>19754</v>
      </c>
      <c r="M25" s="1">
        <v>20514</v>
      </c>
      <c r="N25" s="1">
        <v>21086</v>
      </c>
      <c r="O25" s="1">
        <v>21868</v>
      </c>
      <c r="P25" s="1">
        <v>22476</v>
      </c>
      <c r="Q25" s="1">
        <v>23439</v>
      </c>
      <c r="R25" s="1">
        <v>24335</v>
      </c>
      <c r="S25" s="1">
        <v>25629</v>
      </c>
      <c r="T25" s="1">
        <v>27361</v>
      </c>
      <c r="U25" s="1">
        <v>28111</v>
      </c>
      <c r="V25" s="1">
        <v>25685</v>
      </c>
      <c r="W25" s="1">
        <v>25890</v>
      </c>
      <c r="X25" s="1">
        <v>26004</v>
      </c>
      <c r="Y25" s="1">
        <v>25252</v>
      </c>
      <c r="Z25" s="1">
        <v>24944</v>
      </c>
      <c r="AA25" s="1">
        <v>25693</v>
      </c>
      <c r="AB25" s="1">
        <v>26268</v>
      </c>
      <c r="AC25" s="1">
        <v>26908</v>
      </c>
    </row>
    <row r="26" spans="1:29" x14ac:dyDescent="0.2">
      <c r="A26" s="1" t="s">
        <v>28</v>
      </c>
      <c r="B26" s="1">
        <v>4627</v>
      </c>
      <c r="C26" s="1">
        <v>4478</v>
      </c>
      <c r="D26" s="1">
        <v>3995</v>
      </c>
      <c r="E26" s="1">
        <v>2659</v>
      </c>
      <c r="F26" s="1">
        <v>2338</v>
      </c>
      <c r="G26" s="1">
        <v>1822</v>
      </c>
      <c r="H26" s="1">
        <v>1579</v>
      </c>
      <c r="I26" s="1">
        <v>1484</v>
      </c>
      <c r="J26" s="1">
        <v>1482</v>
      </c>
      <c r="K26" s="1">
        <v>1522</v>
      </c>
      <c r="L26" s="1">
        <v>1558</v>
      </c>
      <c r="M26" s="1">
        <v>1661</v>
      </c>
      <c r="N26" s="1">
        <v>1785</v>
      </c>
      <c r="O26" s="1">
        <v>1924</v>
      </c>
      <c r="P26" s="1">
        <v>2080</v>
      </c>
      <c r="Q26" s="1">
        <v>2248</v>
      </c>
      <c r="R26" s="1">
        <v>2369</v>
      </c>
      <c r="S26" s="1">
        <v>2483</v>
      </c>
      <c r="T26" s="1">
        <v>2612</v>
      </c>
      <c r="U26" s="1">
        <v>2774</v>
      </c>
      <c r="V26" s="1">
        <v>2835</v>
      </c>
      <c r="W26" s="1">
        <v>2966</v>
      </c>
      <c r="X26" s="1">
        <v>3111</v>
      </c>
      <c r="Y26" s="1">
        <v>3285</v>
      </c>
      <c r="Z26" s="1">
        <v>3471</v>
      </c>
      <c r="AA26" s="1">
        <v>3633</v>
      </c>
      <c r="AB26" s="1">
        <v>3789</v>
      </c>
      <c r="AC26" s="1">
        <v>3991</v>
      </c>
    </row>
    <row r="27" spans="1:29" x14ac:dyDescent="0.2">
      <c r="A27" s="1" t="s">
        <v>32</v>
      </c>
      <c r="B27" s="1">
        <v>7524</v>
      </c>
      <c r="C27" s="1">
        <v>7371</v>
      </c>
      <c r="D27" s="1">
        <v>6862</v>
      </c>
      <c r="E27" s="1">
        <v>5703</v>
      </c>
      <c r="F27" s="1">
        <v>5659</v>
      </c>
      <c r="G27" s="1">
        <v>4580</v>
      </c>
      <c r="H27" s="1">
        <v>4172</v>
      </c>
      <c r="I27" s="1">
        <v>3832</v>
      </c>
      <c r="J27" s="1">
        <v>3352</v>
      </c>
      <c r="K27" s="1">
        <v>3525</v>
      </c>
      <c r="L27" s="1">
        <v>4047</v>
      </c>
      <c r="M27" s="1">
        <v>4733</v>
      </c>
      <c r="N27" s="1">
        <v>5623</v>
      </c>
      <c r="O27" s="1">
        <v>6425</v>
      </c>
      <c r="P27" s="1">
        <v>7435</v>
      </c>
      <c r="Q27" s="1">
        <v>8431</v>
      </c>
      <c r="R27" s="1">
        <v>9417</v>
      </c>
      <c r="S27" s="1">
        <v>10327</v>
      </c>
      <c r="T27" s="1">
        <v>11337</v>
      </c>
      <c r="U27" s="1">
        <v>12861</v>
      </c>
      <c r="V27" s="1">
        <v>13494</v>
      </c>
      <c r="W27" s="1">
        <v>14563</v>
      </c>
      <c r="X27" s="1">
        <v>16518</v>
      </c>
      <c r="Y27" s="1">
        <v>18135</v>
      </c>
      <c r="Z27" s="1">
        <v>19751</v>
      </c>
      <c r="AA27" s="1">
        <v>21546</v>
      </c>
      <c r="AB27" s="1">
        <v>22675</v>
      </c>
      <c r="AC27" s="1">
        <v>23813</v>
      </c>
    </row>
    <row r="28" spans="1:29" x14ac:dyDescent="0.2">
      <c r="A28" s="1" t="s">
        <v>8</v>
      </c>
      <c r="B28" s="1">
        <v>14290</v>
      </c>
      <c r="C28" s="1">
        <v>13615</v>
      </c>
      <c r="D28" s="1">
        <v>12404</v>
      </c>
      <c r="E28" s="1">
        <v>11146</v>
      </c>
      <c r="F28" s="1">
        <v>9560</v>
      </c>
      <c r="G28" s="1">
        <v>7406</v>
      </c>
      <c r="H28" s="1">
        <v>6552</v>
      </c>
      <c r="I28" s="1">
        <v>5948</v>
      </c>
      <c r="J28" s="1">
        <v>5820</v>
      </c>
      <c r="K28" s="1">
        <v>5758</v>
      </c>
      <c r="L28" s="1">
        <v>5799</v>
      </c>
      <c r="M28" s="1">
        <v>6201</v>
      </c>
      <c r="N28" s="1">
        <v>6840</v>
      </c>
      <c r="O28" s="1">
        <v>7273</v>
      </c>
      <c r="P28" s="1">
        <v>8028</v>
      </c>
      <c r="Q28" s="1">
        <v>9042</v>
      </c>
      <c r="R28" s="1">
        <v>9387</v>
      </c>
      <c r="S28" s="1">
        <v>10166</v>
      </c>
      <c r="T28" s="1">
        <v>11067</v>
      </c>
      <c r="U28" s="1">
        <v>11377</v>
      </c>
      <c r="V28" s="1">
        <v>9698</v>
      </c>
      <c r="W28" s="1">
        <v>9762</v>
      </c>
      <c r="X28" s="1">
        <v>10333</v>
      </c>
      <c r="Y28" s="1">
        <v>10383</v>
      </c>
      <c r="Z28" s="1">
        <v>10404</v>
      </c>
      <c r="AA28" s="1">
        <v>9818</v>
      </c>
      <c r="AB28" s="1">
        <v>8961</v>
      </c>
      <c r="AC28" s="1">
        <v>9214</v>
      </c>
    </row>
    <row r="29" spans="1:29" x14ac:dyDescent="0.2">
      <c r="A29" s="1" t="s">
        <v>33</v>
      </c>
      <c r="B29" s="1">
        <v>5104</v>
      </c>
      <c r="C29" s="1">
        <v>4887</v>
      </c>
      <c r="D29" s="1">
        <v>4741</v>
      </c>
      <c r="E29" s="1">
        <v>4107</v>
      </c>
      <c r="F29" s="1">
        <v>3917</v>
      </c>
      <c r="G29" s="1">
        <v>3635</v>
      </c>
      <c r="H29" s="1">
        <v>3530</v>
      </c>
      <c r="I29" s="1">
        <v>3520</v>
      </c>
      <c r="J29" s="1">
        <v>3637</v>
      </c>
      <c r="K29" s="1">
        <v>3733</v>
      </c>
      <c r="L29" s="1">
        <v>3837</v>
      </c>
      <c r="M29" s="1">
        <v>3928</v>
      </c>
      <c r="N29" s="1">
        <v>4040</v>
      </c>
      <c r="O29" s="1">
        <v>4149</v>
      </c>
      <c r="P29" s="1">
        <v>4274</v>
      </c>
      <c r="Q29" s="1">
        <v>4542</v>
      </c>
      <c r="R29" s="1">
        <v>4810</v>
      </c>
      <c r="S29" s="1">
        <v>5118</v>
      </c>
      <c r="T29" s="1">
        <v>5549</v>
      </c>
      <c r="U29" s="1">
        <v>5990</v>
      </c>
      <c r="V29" s="1">
        <v>6414</v>
      </c>
      <c r="W29" s="1">
        <v>6894</v>
      </c>
      <c r="X29" s="1">
        <v>7396</v>
      </c>
      <c r="Y29" s="1">
        <v>7928</v>
      </c>
      <c r="Z29" s="1">
        <v>8482</v>
      </c>
      <c r="AA29" s="1">
        <v>9085</v>
      </c>
      <c r="AB29" s="1">
        <v>9720</v>
      </c>
      <c r="AC29" s="1">
        <v>10381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C55A-C65E-9B48-9E4B-E44C97D70126}">
  <dimension ref="A1:AC2"/>
  <sheetViews>
    <sheetView workbookViewId="0">
      <selection activeCell="B61" sqref="B61"/>
    </sheetView>
  </sheetViews>
  <sheetFormatPr baseColWidth="10" defaultRowHeight="16" x14ac:dyDescent="0.2"/>
  <cols>
    <col min="1" max="16384" width="10.83203125" style="1"/>
  </cols>
  <sheetData>
    <row r="1" spans="1:29" x14ac:dyDescent="0.2">
      <c r="B1" s="1">
        <v>1979</v>
      </c>
      <c r="C1" s="1">
        <f>B1+1</f>
        <v>1980</v>
      </c>
      <c r="D1" s="1">
        <f t="shared" ref="D1:AC1" si="0">C1+1</f>
        <v>1981</v>
      </c>
      <c r="E1" s="1">
        <f t="shared" si="0"/>
        <v>1982</v>
      </c>
      <c r="F1" s="1">
        <f t="shared" si="0"/>
        <v>1983</v>
      </c>
      <c r="G1" s="1">
        <f t="shared" si="0"/>
        <v>1984</v>
      </c>
      <c r="H1" s="1">
        <f t="shared" si="0"/>
        <v>1985</v>
      </c>
      <c r="I1" s="1">
        <f t="shared" si="0"/>
        <v>1986</v>
      </c>
      <c r="J1" s="1">
        <f t="shared" si="0"/>
        <v>1987</v>
      </c>
      <c r="K1" s="1">
        <f t="shared" si="0"/>
        <v>1988</v>
      </c>
      <c r="L1" s="1">
        <f t="shared" si="0"/>
        <v>1989</v>
      </c>
      <c r="M1" s="1">
        <f t="shared" si="0"/>
        <v>1990</v>
      </c>
      <c r="N1" s="1">
        <f t="shared" si="0"/>
        <v>1991</v>
      </c>
      <c r="O1" s="1">
        <f t="shared" si="0"/>
        <v>1992</v>
      </c>
      <c r="P1" s="1">
        <f t="shared" si="0"/>
        <v>1993</v>
      </c>
      <c r="Q1" s="1">
        <f t="shared" si="0"/>
        <v>1994</v>
      </c>
      <c r="R1" s="1">
        <f t="shared" si="0"/>
        <v>1995</v>
      </c>
      <c r="S1" s="1">
        <f t="shared" si="0"/>
        <v>1996</v>
      </c>
      <c r="T1" s="1">
        <f t="shared" si="0"/>
        <v>1997</v>
      </c>
      <c r="U1" s="1">
        <f t="shared" si="0"/>
        <v>1998</v>
      </c>
      <c r="V1" s="1">
        <f t="shared" si="0"/>
        <v>1999</v>
      </c>
      <c r="W1" s="1">
        <f t="shared" si="0"/>
        <v>2000</v>
      </c>
      <c r="X1" s="1">
        <f t="shared" si="0"/>
        <v>2001</v>
      </c>
      <c r="Y1" s="1">
        <f t="shared" si="0"/>
        <v>2002</v>
      </c>
      <c r="Z1" s="1">
        <f t="shared" si="0"/>
        <v>2003</v>
      </c>
      <c r="AA1" s="1">
        <f t="shared" si="0"/>
        <v>2004</v>
      </c>
      <c r="AB1" s="1">
        <f t="shared" si="0"/>
        <v>2005</v>
      </c>
      <c r="AC1" s="1">
        <f t="shared" si="0"/>
        <v>2006</v>
      </c>
    </row>
    <row r="2" spans="1:29" x14ac:dyDescent="0.2">
      <c r="A2" s="1" t="s">
        <v>247</v>
      </c>
      <c r="B2" s="1">
        <v>1483</v>
      </c>
      <c r="C2" s="1">
        <v>1539</v>
      </c>
      <c r="D2" s="1">
        <v>1565</v>
      </c>
      <c r="E2" s="1">
        <v>1697</v>
      </c>
      <c r="F2" s="1">
        <v>1776</v>
      </c>
      <c r="G2" s="1">
        <v>1949</v>
      </c>
      <c r="H2" s="1">
        <v>2089</v>
      </c>
      <c r="I2" s="1">
        <v>2193</v>
      </c>
      <c r="J2" s="1">
        <v>2339</v>
      </c>
      <c r="K2" s="1">
        <v>2429</v>
      </c>
      <c r="L2" s="1">
        <v>2410</v>
      </c>
      <c r="M2" s="1">
        <v>2379</v>
      </c>
      <c r="N2" s="1">
        <v>2460</v>
      </c>
      <c r="O2" s="1">
        <v>2631</v>
      </c>
      <c r="P2" s="1">
        <v>2889</v>
      </c>
      <c r="Q2" s="1">
        <v>3107</v>
      </c>
      <c r="R2" s="1">
        <v>3367</v>
      </c>
      <c r="S2" s="1">
        <v>3590</v>
      </c>
      <c r="T2" s="1">
        <v>3708</v>
      </c>
      <c r="U2" s="1">
        <v>3747</v>
      </c>
      <c r="V2" s="1">
        <v>3926</v>
      </c>
      <c r="W2" s="1">
        <v>4202</v>
      </c>
      <c r="X2" s="1">
        <v>4485</v>
      </c>
      <c r="Y2" s="1">
        <v>4850</v>
      </c>
      <c r="Z2" s="1">
        <v>5183</v>
      </c>
      <c r="AA2" s="1">
        <v>5627</v>
      </c>
      <c r="AB2" s="1">
        <v>6212</v>
      </c>
      <c r="AC2" s="1">
        <v>6890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E43D5-64C4-C442-85BE-278260B45D4D}">
  <dimension ref="A1:AC2"/>
  <sheetViews>
    <sheetView workbookViewId="0">
      <selection activeCell="B61" sqref="B61"/>
    </sheetView>
  </sheetViews>
  <sheetFormatPr baseColWidth="10" defaultRowHeight="16" x14ac:dyDescent="0.2"/>
  <cols>
    <col min="1" max="16384" width="10.83203125" style="1"/>
  </cols>
  <sheetData>
    <row r="1" spans="1:29" x14ac:dyDescent="0.2">
      <c r="B1" s="1">
        <v>1929</v>
      </c>
      <c r="C1" s="1">
        <v>1930</v>
      </c>
      <c r="D1" s="1">
        <v>1931</v>
      </c>
      <c r="E1" s="1">
        <v>1932</v>
      </c>
      <c r="F1" s="1">
        <v>1933</v>
      </c>
      <c r="G1" s="1">
        <v>1934</v>
      </c>
      <c r="H1" s="1">
        <v>1935</v>
      </c>
      <c r="I1" s="1">
        <v>1936</v>
      </c>
      <c r="J1" s="1">
        <v>1937</v>
      </c>
      <c r="K1" s="1">
        <v>1938</v>
      </c>
      <c r="L1" s="1">
        <v>1939</v>
      </c>
      <c r="M1" s="1">
        <v>1940</v>
      </c>
      <c r="N1" s="1">
        <v>1941</v>
      </c>
      <c r="O1" s="1">
        <v>1942</v>
      </c>
      <c r="P1" s="1">
        <v>1943</v>
      </c>
      <c r="Q1" s="1">
        <v>1944</v>
      </c>
      <c r="R1" s="1">
        <v>1945</v>
      </c>
      <c r="S1" s="1">
        <v>1946</v>
      </c>
      <c r="T1" s="1">
        <v>1947</v>
      </c>
      <c r="U1" s="1">
        <v>1948</v>
      </c>
      <c r="V1" s="1">
        <v>1949</v>
      </c>
      <c r="W1" s="1">
        <v>1950</v>
      </c>
      <c r="X1" s="1">
        <v>1951</v>
      </c>
      <c r="Y1" s="1">
        <v>1952</v>
      </c>
      <c r="Z1" s="1">
        <v>1953</v>
      </c>
      <c r="AA1" s="1">
        <v>1954</v>
      </c>
      <c r="AB1" s="1">
        <v>1955</v>
      </c>
      <c r="AC1" s="1">
        <v>1956</v>
      </c>
    </row>
    <row r="2" spans="1:29" x14ac:dyDescent="0.2">
      <c r="A2" s="1" t="s">
        <v>246</v>
      </c>
      <c r="B2" s="1">
        <v>122245</v>
      </c>
      <c r="C2" s="1">
        <v>123668</v>
      </c>
      <c r="D2" s="1">
        <v>124633</v>
      </c>
      <c r="E2" s="1">
        <v>125436</v>
      </c>
      <c r="F2" s="1">
        <v>126180</v>
      </c>
      <c r="G2" s="1">
        <v>126978</v>
      </c>
      <c r="H2" s="1">
        <v>127859</v>
      </c>
      <c r="I2" s="1">
        <v>128681</v>
      </c>
      <c r="J2" s="1">
        <v>129464</v>
      </c>
      <c r="K2" s="1">
        <v>130476</v>
      </c>
      <c r="L2" s="1">
        <v>131539</v>
      </c>
      <c r="M2" s="1">
        <v>132637</v>
      </c>
      <c r="N2" s="1">
        <v>133922</v>
      </c>
      <c r="O2" s="1">
        <v>135386</v>
      </c>
      <c r="P2" s="1">
        <v>137272</v>
      </c>
      <c r="Q2" s="1">
        <v>138937</v>
      </c>
      <c r="R2" s="1">
        <v>140474</v>
      </c>
      <c r="S2" s="1">
        <v>141940</v>
      </c>
      <c r="T2" s="1">
        <v>144688</v>
      </c>
      <c r="U2" s="1">
        <v>147203</v>
      </c>
      <c r="V2" s="1">
        <v>149770</v>
      </c>
      <c r="W2" s="1">
        <v>152271</v>
      </c>
      <c r="X2" s="1">
        <v>154878</v>
      </c>
      <c r="Y2" s="1">
        <v>157553</v>
      </c>
      <c r="Z2" s="1">
        <v>160184</v>
      </c>
      <c r="AA2" s="1">
        <v>163026</v>
      </c>
      <c r="AB2" s="1">
        <v>165931</v>
      </c>
      <c r="AC2" s="1">
        <v>168903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19F6-F727-5E48-A1D3-796F0A05A707}">
  <dimension ref="A1:AC2"/>
  <sheetViews>
    <sheetView workbookViewId="0">
      <selection activeCell="B61" sqref="B61"/>
    </sheetView>
  </sheetViews>
  <sheetFormatPr baseColWidth="10" defaultRowHeight="16" x14ac:dyDescent="0.2"/>
  <cols>
    <col min="1" max="16384" width="10.83203125" style="1"/>
  </cols>
  <sheetData>
    <row r="1" spans="1:29" x14ac:dyDescent="0.2">
      <c r="B1" s="1">
        <v>1986</v>
      </c>
      <c r="C1" s="1">
        <f>B1+1</f>
        <v>1987</v>
      </c>
      <c r="D1" s="1">
        <f t="shared" ref="D1:AC1" si="0">C1+1</f>
        <v>1988</v>
      </c>
      <c r="E1" s="1">
        <f t="shared" si="0"/>
        <v>1989</v>
      </c>
      <c r="F1" s="1">
        <f t="shared" si="0"/>
        <v>1990</v>
      </c>
      <c r="G1" s="1">
        <f t="shared" si="0"/>
        <v>1991</v>
      </c>
      <c r="H1" s="1">
        <f t="shared" si="0"/>
        <v>1992</v>
      </c>
      <c r="I1" s="1">
        <f t="shared" si="0"/>
        <v>1993</v>
      </c>
      <c r="J1" s="1">
        <f t="shared" si="0"/>
        <v>1994</v>
      </c>
      <c r="K1" s="1">
        <f t="shared" si="0"/>
        <v>1995</v>
      </c>
      <c r="L1" s="1">
        <f t="shared" si="0"/>
        <v>1996</v>
      </c>
      <c r="M1" s="1">
        <f t="shared" si="0"/>
        <v>1997</v>
      </c>
      <c r="N1" s="1">
        <f t="shared" si="0"/>
        <v>1998</v>
      </c>
      <c r="O1" s="1">
        <f t="shared" si="0"/>
        <v>1999</v>
      </c>
      <c r="P1" s="1">
        <f t="shared" si="0"/>
        <v>2000</v>
      </c>
      <c r="Q1" s="1">
        <f t="shared" si="0"/>
        <v>2001</v>
      </c>
      <c r="R1" s="1">
        <f t="shared" si="0"/>
        <v>2002</v>
      </c>
      <c r="S1" s="1">
        <f t="shared" si="0"/>
        <v>2003</v>
      </c>
      <c r="T1" s="1">
        <f t="shared" si="0"/>
        <v>2004</v>
      </c>
      <c r="U1" s="1">
        <f t="shared" si="0"/>
        <v>2005</v>
      </c>
      <c r="V1" s="1">
        <f t="shared" si="0"/>
        <v>2006</v>
      </c>
      <c r="W1" s="1">
        <f t="shared" si="0"/>
        <v>2007</v>
      </c>
      <c r="X1" s="1">
        <f t="shared" si="0"/>
        <v>2008</v>
      </c>
      <c r="Y1" s="1">
        <f t="shared" si="0"/>
        <v>2009</v>
      </c>
      <c r="Z1" s="1">
        <f t="shared" si="0"/>
        <v>2010</v>
      </c>
      <c r="AA1" s="1">
        <f t="shared" si="0"/>
        <v>2011</v>
      </c>
      <c r="AB1" s="1">
        <f t="shared" si="0"/>
        <v>2012</v>
      </c>
      <c r="AC1" s="1">
        <f t="shared" si="0"/>
        <v>2013</v>
      </c>
    </row>
    <row r="2" spans="1:29" x14ac:dyDescent="0.2">
      <c r="A2" s="1" t="s">
        <v>248</v>
      </c>
      <c r="B2" s="1">
        <v>1370</v>
      </c>
      <c r="C2" s="1">
        <v>1388</v>
      </c>
      <c r="D2" s="1">
        <v>1440</v>
      </c>
      <c r="E2" s="1">
        <v>1469</v>
      </c>
      <c r="F2" s="1">
        <v>1512</v>
      </c>
      <c r="G2" s="1">
        <v>1568</v>
      </c>
      <c r="H2" s="1">
        <v>1671</v>
      </c>
      <c r="I2" s="1">
        <v>1773</v>
      </c>
      <c r="J2" s="1">
        <v>1896</v>
      </c>
      <c r="K2" s="1">
        <v>2042</v>
      </c>
      <c r="L2" s="1">
        <v>2198</v>
      </c>
      <c r="M2" s="1">
        <v>2343</v>
      </c>
      <c r="N2" s="1">
        <v>2444</v>
      </c>
      <c r="O2" s="1">
        <v>2527</v>
      </c>
      <c r="P2" s="1">
        <v>2663</v>
      </c>
      <c r="Q2" s="1">
        <v>2810</v>
      </c>
      <c r="R2" s="1">
        <v>2970</v>
      </c>
      <c r="S2" s="1">
        <v>3148</v>
      </c>
      <c r="T2" s="1">
        <v>3350</v>
      </c>
      <c r="U2" s="1">
        <v>3558</v>
      </c>
      <c r="V2" s="1">
        <v>3759</v>
      </c>
      <c r="W2" s="1">
        <v>3978</v>
      </c>
      <c r="X2" s="1">
        <v>4154</v>
      </c>
      <c r="Y2" s="1">
        <v>4328</v>
      </c>
      <c r="Z2" s="1">
        <v>4555</v>
      </c>
      <c r="AA2" s="1">
        <v>4786</v>
      </c>
      <c r="AB2" s="1">
        <v>4984</v>
      </c>
      <c r="AC2" s="1">
        <v>5200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6E0D2-2457-384B-82BF-CF3BDD08E769}">
  <dimension ref="A1:Z24"/>
  <sheetViews>
    <sheetView workbookViewId="0">
      <selection activeCell="B61" sqref="B61"/>
    </sheetView>
  </sheetViews>
  <sheetFormatPr baseColWidth="10" defaultRowHeight="16" x14ac:dyDescent="0.2"/>
  <cols>
    <col min="1" max="16384" width="10.83203125" style="1"/>
  </cols>
  <sheetData>
    <row r="1" spans="1:26" x14ac:dyDescent="0.2">
      <c r="B1" s="1">
        <v>1991</v>
      </c>
      <c r="C1" s="1">
        <v>1992</v>
      </c>
      <c r="D1" s="1">
        <v>1993</v>
      </c>
      <c r="E1" s="1">
        <v>1994</v>
      </c>
      <c r="F1" s="1">
        <v>1995</v>
      </c>
      <c r="G1" s="1">
        <v>1996</v>
      </c>
      <c r="H1" s="1">
        <v>1997</v>
      </c>
      <c r="I1" s="1">
        <v>1998</v>
      </c>
      <c r="J1" s="1">
        <v>1999</v>
      </c>
      <c r="K1" s="1">
        <v>2000</v>
      </c>
      <c r="L1" s="1">
        <v>2001</v>
      </c>
      <c r="M1" s="1">
        <v>2002</v>
      </c>
      <c r="N1" s="1">
        <v>2003</v>
      </c>
      <c r="O1" s="1">
        <v>2004</v>
      </c>
      <c r="P1" s="1">
        <v>2005</v>
      </c>
      <c r="Q1" s="1">
        <v>2006</v>
      </c>
      <c r="R1" s="1">
        <v>2007</v>
      </c>
      <c r="S1" s="1">
        <v>2008</v>
      </c>
      <c r="T1" s="1">
        <v>2009</v>
      </c>
      <c r="U1" s="1">
        <v>2010</v>
      </c>
      <c r="V1" s="1">
        <v>2011</v>
      </c>
      <c r="W1" s="1">
        <v>2012</v>
      </c>
      <c r="X1" s="1">
        <v>2013</v>
      </c>
      <c r="Y1" s="1">
        <v>2014</v>
      </c>
      <c r="Z1" s="1">
        <v>2015</v>
      </c>
    </row>
    <row r="2" spans="1:26" x14ac:dyDescent="0.2">
      <c r="A2" s="1" t="s">
        <v>27</v>
      </c>
      <c r="B2" s="1">
        <v>43.18</v>
      </c>
      <c r="C2" s="1">
        <v>40.18</v>
      </c>
      <c r="D2" s="1">
        <v>39.450000000000003</v>
      </c>
      <c r="E2" s="1">
        <v>40.07</v>
      </c>
      <c r="F2" s="1">
        <v>39.18</v>
      </c>
      <c r="G2" s="1">
        <v>37.07</v>
      </c>
      <c r="H2" s="1">
        <v>37.590000000000003</v>
      </c>
      <c r="I2" s="1">
        <v>38.159999999999997</v>
      </c>
      <c r="J2" s="1">
        <v>36.04</v>
      </c>
      <c r="K2" s="1">
        <v>35.299999999999997</v>
      </c>
      <c r="L2" s="1">
        <v>36.04</v>
      </c>
      <c r="M2" s="1">
        <v>33.67</v>
      </c>
      <c r="N2" s="1">
        <v>32.64</v>
      </c>
      <c r="O2" s="1">
        <v>31.72</v>
      </c>
      <c r="P2" s="1">
        <v>30.89</v>
      </c>
      <c r="Q2" s="1">
        <v>29.58</v>
      </c>
      <c r="R2" s="1">
        <v>28.53</v>
      </c>
      <c r="S2" s="1">
        <v>27.12</v>
      </c>
      <c r="T2" s="1">
        <v>26.91</v>
      </c>
      <c r="U2" s="1">
        <v>26.1</v>
      </c>
      <c r="V2" s="1">
        <v>25.41</v>
      </c>
      <c r="W2" s="1">
        <v>25.52</v>
      </c>
      <c r="X2" s="1">
        <v>25.68</v>
      </c>
      <c r="Y2" s="1">
        <v>25.78</v>
      </c>
      <c r="Z2" s="1">
        <v>26.21</v>
      </c>
    </row>
    <row r="3" spans="1:26" x14ac:dyDescent="0.2">
      <c r="A3" s="1" t="s">
        <v>23</v>
      </c>
      <c r="B3" s="1">
        <v>46.65</v>
      </c>
      <c r="C3" s="1">
        <v>49.5</v>
      </c>
      <c r="D3" s="1">
        <v>48.63</v>
      </c>
      <c r="E3" s="1">
        <v>44.66</v>
      </c>
      <c r="F3" s="1">
        <v>47.14</v>
      </c>
      <c r="G3" s="1">
        <v>47.48</v>
      </c>
      <c r="H3" s="1">
        <v>46.41</v>
      </c>
      <c r="I3" s="1">
        <v>45.81</v>
      </c>
      <c r="J3" s="1">
        <v>46.85</v>
      </c>
      <c r="K3" s="1">
        <v>46.6</v>
      </c>
      <c r="L3" s="1">
        <v>47.61</v>
      </c>
      <c r="M3" s="1">
        <v>44.11</v>
      </c>
      <c r="N3" s="1">
        <v>42.08</v>
      </c>
      <c r="O3" s="1">
        <v>43.57</v>
      </c>
      <c r="P3" s="1">
        <v>41.03</v>
      </c>
      <c r="Q3" s="1">
        <v>41.38</v>
      </c>
      <c r="R3" s="1">
        <v>39.47</v>
      </c>
      <c r="S3" s="1">
        <v>35.39</v>
      </c>
      <c r="T3" s="1">
        <v>41.04</v>
      </c>
      <c r="U3" s="1">
        <v>40.14</v>
      </c>
      <c r="V3" s="1">
        <v>38.46</v>
      </c>
      <c r="W3" s="1">
        <v>35.520000000000003</v>
      </c>
      <c r="X3" s="1">
        <v>34.56</v>
      </c>
      <c r="Y3" s="1">
        <v>34.78</v>
      </c>
      <c r="Z3" s="1">
        <v>35.96</v>
      </c>
    </row>
    <row r="4" spans="1:26" x14ac:dyDescent="0.2">
      <c r="A4" s="1" t="s">
        <v>29</v>
      </c>
      <c r="B4" s="1">
        <v>54.69</v>
      </c>
      <c r="C4" s="1">
        <v>53.67</v>
      </c>
      <c r="D4" s="1">
        <v>60.46</v>
      </c>
      <c r="E4" s="1">
        <v>64.66</v>
      </c>
      <c r="F4" s="1">
        <v>59.95</v>
      </c>
      <c r="G4" s="1">
        <v>59.22</v>
      </c>
      <c r="H4" s="1">
        <v>58.85</v>
      </c>
      <c r="I4" s="1">
        <v>61.13</v>
      </c>
      <c r="J4" s="1">
        <v>59.52</v>
      </c>
      <c r="K4" s="1">
        <v>60.6</v>
      </c>
      <c r="L4" s="1">
        <v>58.29</v>
      </c>
      <c r="M4" s="1">
        <v>55.95</v>
      </c>
      <c r="N4" s="1">
        <v>54.18</v>
      </c>
      <c r="O4" s="1">
        <v>52.45</v>
      </c>
      <c r="P4" s="1">
        <v>50.01</v>
      </c>
      <c r="Q4" s="1">
        <v>48.02</v>
      </c>
      <c r="R4" s="1">
        <v>45.32</v>
      </c>
      <c r="S4" s="1">
        <v>43.7</v>
      </c>
      <c r="T4" s="1">
        <v>44.82</v>
      </c>
      <c r="U4" s="1">
        <v>44.2</v>
      </c>
      <c r="V4" s="1">
        <v>43.71</v>
      </c>
      <c r="W4" s="1">
        <v>43.3</v>
      </c>
      <c r="X4" s="1">
        <v>42.26</v>
      </c>
      <c r="Y4" s="1">
        <v>42.15</v>
      </c>
      <c r="Z4" s="1">
        <v>43.66</v>
      </c>
    </row>
    <row r="5" spans="1:26" x14ac:dyDescent="0.2">
      <c r="A5" s="1" t="s">
        <v>3</v>
      </c>
      <c r="B5" s="1">
        <v>52.78</v>
      </c>
      <c r="C5" s="1">
        <v>47.83</v>
      </c>
      <c r="D5" s="1">
        <v>47.95</v>
      </c>
      <c r="E5" s="1">
        <v>49.54</v>
      </c>
      <c r="F5" s="1">
        <v>53.57</v>
      </c>
      <c r="G5" s="1">
        <v>52.24</v>
      </c>
      <c r="H5" s="1">
        <v>51.11</v>
      </c>
      <c r="I5" s="1">
        <v>49.32</v>
      </c>
      <c r="J5" s="1">
        <v>50.14</v>
      </c>
      <c r="K5" s="1">
        <v>48.1</v>
      </c>
      <c r="L5" s="1">
        <v>49.39</v>
      </c>
      <c r="M5" s="1">
        <v>49.73</v>
      </c>
      <c r="N5" s="1">
        <v>48.64</v>
      </c>
      <c r="O5" s="1">
        <v>46.72</v>
      </c>
      <c r="P5" s="1">
        <v>46.77</v>
      </c>
      <c r="Q5" s="1">
        <v>44.64</v>
      </c>
      <c r="R5" s="1">
        <v>42.1</v>
      </c>
      <c r="S5" s="1">
        <v>38.69</v>
      </c>
      <c r="T5" s="1">
        <v>39.700000000000003</v>
      </c>
      <c r="U5" s="1">
        <v>38.17</v>
      </c>
      <c r="V5" s="1">
        <v>33.03</v>
      </c>
      <c r="W5" s="1">
        <v>32.29</v>
      </c>
      <c r="X5" s="1">
        <v>34.07</v>
      </c>
      <c r="Y5" s="1">
        <v>34.119999999999997</v>
      </c>
      <c r="Z5" s="1">
        <v>32.369999999999997</v>
      </c>
    </row>
    <row r="6" spans="1:26" x14ac:dyDescent="0.2">
      <c r="A6" s="1" t="s">
        <v>36</v>
      </c>
      <c r="B6" s="1">
        <v>31.38</v>
      </c>
      <c r="C6" s="1">
        <v>32.18</v>
      </c>
      <c r="D6" s="1">
        <v>33.43</v>
      </c>
      <c r="E6" s="1">
        <v>43.3</v>
      </c>
      <c r="F6" s="1">
        <v>44.45</v>
      </c>
      <c r="G6" s="1">
        <v>38.53</v>
      </c>
      <c r="H6" s="1">
        <v>36.659999999999997</v>
      </c>
      <c r="I6" s="1">
        <v>33.25</v>
      </c>
      <c r="J6" s="1">
        <v>32.869999999999997</v>
      </c>
      <c r="K6" s="1">
        <v>34.1</v>
      </c>
      <c r="L6" s="1">
        <v>33.99</v>
      </c>
      <c r="M6" s="1">
        <v>37.340000000000003</v>
      </c>
      <c r="N6" s="1">
        <v>35.94</v>
      </c>
      <c r="O6" s="1">
        <v>33.57</v>
      </c>
      <c r="P6" s="1">
        <v>32.72</v>
      </c>
      <c r="Q6" s="1">
        <v>33.479999999999997</v>
      </c>
      <c r="R6" s="1">
        <v>33.11</v>
      </c>
      <c r="S6" s="1">
        <v>30.97</v>
      </c>
      <c r="T6" s="1">
        <v>33.130000000000003</v>
      </c>
      <c r="U6" s="1">
        <v>33.18</v>
      </c>
      <c r="V6" s="1">
        <v>32.6</v>
      </c>
      <c r="W6" s="1">
        <v>32.590000000000003</v>
      </c>
      <c r="X6" s="1">
        <v>31.38</v>
      </c>
      <c r="Y6" s="1">
        <v>31.19</v>
      </c>
      <c r="Z6" s="1">
        <v>29.88</v>
      </c>
    </row>
    <row r="7" spans="1:26" x14ac:dyDescent="0.2">
      <c r="A7" s="1" t="s">
        <v>22</v>
      </c>
      <c r="B7" s="1">
        <v>36.729999999999997</v>
      </c>
      <c r="C7" s="1">
        <v>36.590000000000003</v>
      </c>
      <c r="D7" s="1">
        <v>37.65</v>
      </c>
      <c r="E7" s="1">
        <v>36.17</v>
      </c>
      <c r="F7" s="1">
        <v>34.53</v>
      </c>
      <c r="G7" s="1">
        <v>33.049999999999997</v>
      </c>
      <c r="H7" s="1">
        <v>32.32</v>
      </c>
      <c r="I7" s="1">
        <v>34.43</v>
      </c>
      <c r="J7" s="1">
        <v>36.200000000000003</v>
      </c>
      <c r="K7" s="1">
        <v>36.9</v>
      </c>
      <c r="L7" s="1">
        <v>36.51</v>
      </c>
      <c r="M7" s="1">
        <v>35.049999999999997</v>
      </c>
      <c r="N7" s="1">
        <v>34.57</v>
      </c>
      <c r="O7" s="1">
        <v>32.18</v>
      </c>
      <c r="P7" s="1">
        <v>30.23</v>
      </c>
      <c r="Q7" s="1">
        <v>28.38</v>
      </c>
      <c r="R7" s="1">
        <v>25.3</v>
      </c>
      <c r="S7" s="1">
        <v>24.37</v>
      </c>
      <c r="T7" s="1">
        <v>25.68</v>
      </c>
      <c r="U7" s="1">
        <v>25.02</v>
      </c>
      <c r="V7" s="1">
        <v>23.99</v>
      </c>
      <c r="W7" s="1">
        <v>23.72</v>
      </c>
      <c r="X7" s="1">
        <v>23.97</v>
      </c>
      <c r="Y7" s="1">
        <v>23.2</v>
      </c>
      <c r="Z7" s="1">
        <v>22.43</v>
      </c>
    </row>
    <row r="8" spans="1:26" x14ac:dyDescent="0.2">
      <c r="A8" s="1" t="s">
        <v>12</v>
      </c>
      <c r="B8" s="1">
        <v>32.1</v>
      </c>
      <c r="C8" s="1">
        <v>34.25</v>
      </c>
      <c r="D8" s="1">
        <v>36.33</v>
      </c>
      <c r="E8" s="1">
        <v>37.31</v>
      </c>
      <c r="F8" s="1">
        <v>38.729999999999997</v>
      </c>
      <c r="G8" s="1">
        <v>37.04</v>
      </c>
      <c r="H8" s="1">
        <v>34.04</v>
      </c>
      <c r="I8" s="1">
        <v>35.619999999999997</v>
      </c>
      <c r="J8" s="1">
        <v>36</v>
      </c>
      <c r="K8" s="1">
        <v>33.4</v>
      </c>
      <c r="L8" s="1">
        <v>32.31</v>
      </c>
      <c r="M8" s="1">
        <v>30.46</v>
      </c>
      <c r="N8" s="1">
        <v>28.53</v>
      </c>
      <c r="O8" s="1">
        <v>27.5</v>
      </c>
      <c r="P8" s="1">
        <v>26.36</v>
      </c>
      <c r="Q8" s="1">
        <v>25.2</v>
      </c>
      <c r="R8" s="1">
        <v>23.9</v>
      </c>
      <c r="S8" s="1">
        <v>22.96</v>
      </c>
      <c r="T8" s="1">
        <v>26.67</v>
      </c>
      <c r="U8" s="1">
        <v>27</v>
      </c>
      <c r="V8" s="1">
        <v>26.04</v>
      </c>
      <c r="W8" s="1">
        <v>26.66</v>
      </c>
      <c r="X8" s="1">
        <v>26.68</v>
      </c>
      <c r="Y8" s="1">
        <v>25.88</v>
      </c>
      <c r="Z8" s="1">
        <v>25.36</v>
      </c>
    </row>
    <row r="9" spans="1:26" x14ac:dyDescent="0.2">
      <c r="A9" s="1" t="s">
        <v>37</v>
      </c>
      <c r="B9" s="1">
        <v>20.72</v>
      </c>
      <c r="C9" s="1">
        <v>20.07</v>
      </c>
      <c r="D9" s="1">
        <v>20.48</v>
      </c>
      <c r="E9" s="1">
        <v>20.52</v>
      </c>
      <c r="F9" s="1">
        <v>19.11</v>
      </c>
      <c r="G9" s="1">
        <v>18.350000000000001</v>
      </c>
      <c r="H9" s="1">
        <v>19</v>
      </c>
      <c r="I9" s="1">
        <v>18.61</v>
      </c>
      <c r="J9" s="1">
        <v>19.45</v>
      </c>
      <c r="K9" s="1">
        <v>19.100000000000001</v>
      </c>
      <c r="L9" s="1">
        <v>18.100000000000001</v>
      </c>
      <c r="M9" s="1">
        <v>19.05</v>
      </c>
      <c r="N9" s="1">
        <v>19.38</v>
      </c>
      <c r="O9" s="1">
        <v>18.05</v>
      </c>
      <c r="P9" s="1">
        <v>16.760000000000002</v>
      </c>
      <c r="Q9" s="1">
        <v>15.44</v>
      </c>
      <c r="R9" s="1">
        <v>13.83</v>
      </c>
      <c r="S9" s="1">
        <v>13.48</v>
      </c>
      <c r="T9" s="1">
        <v>15.82</v>
      </c>
      <c r="U9" s="1">
        <v>15.27</v>
      </c>
      <c r="V9" s="1">
        <v>13.98</v>
      </c>
      <c r="W9" s="1">
        <v>13.8</v>
      </c>
      <c r="X9" s="1">
        <v>14.09</v>
      </c>
      <c r="Y9" s="1">
        <v>13.06</v>
      </c>
      <c r="Z9" s="1">
        <v>12.77</v>
      </c>
    </row>
    <row r="10" spans="1:26" x14ac:dyDescent="0.2">
      <c r="A10" s="1" t="s">
        <v>13</v>
      </c>
      <c r="B10" s="1">
        <v>28.54</v>
      </c>
      <c r="C10" s="1">
        <v>31.04</v>
      </c>
      <c r="D10" s="1">
        <v>34.130000000000003</v>
      </c>
      <c r="E10" s="1">
        <v>34.79</v>
      </c>
      <c r="F10" s="1">
        <v>35.51</v>
      </c>
      <c r="G10" s="1">
        <v>35.22</v>
      </c>
      <c r="H10" s="1">
        <v>32.01</v>
      </c>
      <c r="I10" s="1">
        <v>31.79</v>
      </c>
      <c r="J10" s="1">
        <v>32.590000000000003</v>
      </c>
      <c r="K10" s="1">
        <v>32.700000000000003</v>
      </c>
      <c r="L10" s="1">
        <v>31.16</v>
      </c>
      <c r="M10" s="1">
        <v>30.39</v>
      </c>
      <c r="N10" s="1">
        <v>29.77</v>
      </c>
      <c r="O10" s="1">
        <v>28.15</v>
      </c>
      <c r="P10" s="1">
        <v>26.26</v>
      </c>
      <c r="Q10" s="1">
        <v>24</v>
      </c>
      <c r="R10" s="1">
        <v>22.84</v>
      </c>
      <c r="S10" s="1">
        <v>24.42</v>
      </c>
      <c r="T10" s="1">
        <v>29.6</v>
      </c>
      <c r="U10" s="1">
        <v>27.99</v>
      </c>
      <c r="V10" s="1">
        <v>24.67</v>
      </c>
      <c r="W10" s="1">
        <v>23.34</v>
      </c>
      <c r="X10" s="1">
        <v>22.97</v>
      </c>
      <c r="Y10" s="1">
        <v>22.52</v>
      </c>
      <c r="Z10" s="1">
        <v>23.49</v>
      </c>
    </row>
    <row r="11" spans="1:26" x14ac:dyDescent="0.2">
      <c r="A11" s="1" t="s">
        <v>26</v>
      </c>
      <c r="B11" s="1">
        <v>61.47</v>
      </c>
      <c r="C11" s="1">
        <v>65.31</v>
      </c>
      <c r="D11" s="1">
        <v>65.010000000000005</v>
      </c>
      <c r="E11" s="1">
        <v>63.7</v>
      </c>
      <c r="F11" s="1">
        <v>71.95</v>
      </c>
      <c r="G11" s="1">
        <v>71.33</v>
      </c>
      <c r="H11" s="1">
        <v>69.349999999999994</v>
      </c>
      <c r="I11" s="1">
        <v>71.27</v>
      </c>
      <c r="J11" s="1">
        <v>70.099999999999994</v>
      </c>
      <c r="K11" s="1">
        <v>67.3</v>
      </c>
      <c r="L11" s="1">
        <v>66.86</v>
      </c>
      <c r="M11" s="1">
        <v>67.53</v>
      </c>
      <c r="N11" s="1">
        <v>64.900000000000006</v>
      </c>
      <c r="O11" s="1">
        <v>66.099999999999994</v>
      </c>
      <c r="P11" s="1">
        <v>66.91</v>
      </c>
      <c r="Q11" s="1">
        <v>63.79</v>
      </c>
      <c r="R11" s="1">
        <v>64.55</v>
      </c>
      <c r="S11" s="1">
        <v>67.930000000000007</v>
      </c>
      <c r="T11" s="1">
        <v>68.459999999999994</v>
      </c>
      <c r="U11" s="1">
        <v>64.73</v>
      </c>
      <c r="V11" s="1">
        <v>60.86</v>
      </c>
      <c r="W11" s="1">
        <v>58.67</v>
      </c>
      <c r="X11" s="1">
        <v>56.57</v>
      </c>
      <c r="Y11" s="1">
        <v>54.1</v>
      </c>
      <c r="Z11" s="1">
        <v>53.07</v>
      </c>
    </row>
    <row r="12" spans="1:26" x14ac:dyDescent="0.2">
      <c r="A12" s="1" t="s">
        <v>9</v>
      </c>
      <c r="B12" s="1">
        <v>31.89</v>
      </c>
      <c r="C12" s="1">
        <v>32.26</v>
      </c>
      <c r="D12" s="1">
        <v>33.69</v>
      </c>
      <c r="E12" s="1">
        <v>32.03</v>
      </c>
      <c r="F12" s="1">
        <v>30.18</v>
      </c>
      <c r="G12" s="1">
        <v>29.18</v>
      </c>
      <c r="H12" s="1">
        <v>28.35</v>
      </c>
      <c r="I12" s="1">
        <v>27.11</v>
      </c>
      <c r="J12" s="1">
        <v>26.57</v>
      </c>
      <c r="K12" s="1">
        <v>25.1</v>
      </c>
      <c r="L12" s="1">
        <v>24.7</v>
      </c>
      <c r="M12" s="1">
        <v>24.14</v>
      </c>
      <c r="N12" s="1">
        <v>24.19</v>
      </c>
      <c r="O12" s="1">
        <v>22.88</v>
      </c>
      <c r="P12" s="1">
        <v>22.52</v>
      </c>
      <c r="Q12" s="1">
        <v>21.05</v>
      </c>
      <c r="R12" s="1">
        <v>20.399999999999999</v>
      </c>
      <c r="S12" s="1">
        <v>20.58</v>
      </c>
      <c r="T12" s="1">
        <v>23.18</v>
      </c>
      <c r="U12" s="1">
        <v>22.82</v>
      </c>
      <c r="V12" s="1">
        <v>21.87</v>
      </c>
      <c r="W12" s="1">
        <v>22.26</v>
      </c>
      <c r="X12" s="1">
        <v>21.63</v>
      </c>
      <c r="Y12" s="1">
        <v>20.78</v>
      </c>
      <c r="Z12" s="1">
        <v>20.49</v>
      </c>
    </row>
    <row r="13" spans="1:26" x14ac:dyDescent="0.2">
      <c r="A13" s="1" t="s">
        <v>7</v>
      </c>
      <c r="B13" s="1">
        <v>43.62</v>
      </c>
      <c r="C13" s="1">
        <v>43.41</v>
      </c>
      <c r="D13" s="1">
        <v>44.49</v>
      </c>
      <c r="E13" s="1">
        <v>42.63</v>
      </c>
      <c r="F13" s="1">
        <v>46.08</v>
      </c>
      <c r="G13" s="1">
        <v>47.35</v>
      </c>
      <c r="H13" s="1">
        <v>45.99</v>
      </c>
      <c r="I13" s="1">
        <v>45.66</v>
      </c>
      <c r="J13" s="1">
        <v>44.61</v>
      </c>
      <c r="K13" s="1">
        <v>43.2</v>
      </c>
      <c r="L13" s="1">
        <v>42.73</v>
      </c>
      <c r="M13" s="1">
        <v>40.89</v>
      </c>
      <c r="N13" s="1">
        <v>39.58</v>
      </c>
      <c r="O13" s="1">
        <v>38.409999999999997</v>
      </c>
      <c r="P13" s="1">
        <v>36.39</v>
      </c>
      <c r="Q13" s="1">
        <v>35.119999999999997</v>
      </c>
      <c r="R13" s="1">
        <v>34.21</v>
      </c>
      <c r="S13" s="1">
        <v>32.659999999999997</v>
      </c>
      <c r="T13" s="1">
        <v>34.65</v>
      </c>
      <c r="U13" s="1">
        <v>33.03</v>
      </c>
      <c r="V13" s="1">
        <v>31.61</v>
      </c>
      <c r="W13" s="1">
        <v>31.92</v>
      </c>
      <c r="X13" s="1">
        <v>30.77</v>
      </c>
      <c r="Y13" s="1">
        <v>30.06</v>
      </c>
      <c r="Z13" s="1">
        <v>32.82</v>
      </c>
    </row>
    <row r="14" spans="1:26" x14ac:dyDescent="0.2">
      <c r="A14" s="1" t="s">
        <v>14</v>
      </c>
      <c r="B14" s="1">
        <v>35.75</v>
      </c>
      <c r="C14" s="1">
        <v>38.76</v>
      </c>
      <c r="D14" s="1">
        <v>41.83</v>
      </c>
      <c r="E14" s="1">
        <v>44.44</v>
      </c>
      <c r="F14" s="1">
        <v>45.93</v>
      </c>
      <c r="G14" s="1">
        <v>43.02</v>
      </c>
      <c r="H14" s="1">
        <v>41.83</v>
      </c>
      <c r="I14" s="1">
        <v>41.65</v>
      </c>
      <c r="J14" s="1">
        <v>41.94</v>
      </c>
      <c r="K14" s="1">
        <v>41.2</v>
      </c>
      <c r="L14" s="1">
        <v>40.35</v>
      </c>
      <c r="M14" s="1">
        <v>43</v>
      </c>
      <c r="N14" s="1">
        <v>39.049999999999997</v>
      </c>
      <c r="O14" s="1">
        <v>37.729999999999997</v>
      </c>
      <c r="P14" s="1">
        <v>38.04</v>
      </c>
      <c r="Q14" s="1">
        <v>37.520000000000003</v>
      </c>
      <c r="R14" s="1">
        <v>34.72</v>
      </c>
      <c r="S14" s="1">
        <v>33.340000000000003</v>
      </c>
      <c r="T14" s="1">
        <v>34.1</v>
      </c>
      <c r="U14" s="1">
        <v>34.32</v>
      </c>
      <c r="V14" s="1">
        <v>33.06</v>
      </c>
      <c r="W14" s="1">
        <v>34.26</v>
      </c>
      <c r="X14" s="1">
        <v>31.35</v>
      </c>
      <c r="Y14" s="1">
        <v>29.95</v>
      </c>
      <c r="Z14" s="1">
        <v>30.78</v>
      </c>
    </row>
    <row r="15" spans="1:26" x14ac:dyDescent="0.2">
      <c r="A15" s="1" t="s">
        <v>20</v>
      </c>
      <c r="B15" s="1">
        <v>23.87</v>
      </c>
      <c r="C15" s="1">
        <v>28.24</v>
      </c>
      <c r="D15" s="1">
        <v>29.09</v>
      </c>
      <c r="E15" s="1">
        <v>28.59</v>
      </c>
      <c r="F15" s="1">
        <v>32.450000000000003</v>
      </c>
      <c r="G15" s="1">
        <v>31.87</v>
      </c>
      <c r="H15" s="1">
        <v>30.76</v>
      </c>
      <c r="I15" s="1">
        <v>31.24</v>
      </c>
      <c r="J15" s="1">
        <v>30.87</v>
      </c>
      <c r="K15" s="1">
        <v>30.5</v>
      </c>
      <c r="L15" s="1">
        <v>28.98</v>
      </c>
      <c r="M15" s="1">
        <v>28.92</v>
      </c>
      <c r="N15" s="1">
        <v>27.51</v>
      </c>
      <c r="O15" s="1">
        <v>25.85</v>
      </c>
      <c r="P15" s="1">
        <v>23.73</v>
      </c>
      <c r="Q15" s="1">
        <v>21.93</v>
      </c>
      <c r="R15" s="1">
        <v>20.84</v>
      </c>
      <c r="S15" s="1">
        <v>22.07</v>
      </c>
      <c r="T15" s="1">
        <v>24.96</v>
      </c>
      <c r="U15" s="1">
        <v>24.21</v>
      </c>
      <c r="V15" s="1">
        <v>22.47</v>
      </c>
      <c r="W15" s="1">
        <v>21.12</v>
      </c>
      <c r="X15" s="1">
        <v>20.48</v>
      </c>
      <c r="Y15" s="1">
        <v>19.72</v>
      </c>
      <c r="Z15" s="1">
        <v>20.420000000000002</v>
      </c>
    </row>
    <row r="16" spans="1:26" x14ac:dyDescent="0.2">
      <c r="A16" s="1" t="s">
        <v>21</v>
      </c>
      <c r="B16" s="1">
        <v>23.75</v>
      </c>
      <c r="C16" s="1">
        <v>26.38</v>
      </c>
      <c r="D16" s="1">
        <v>28.96</v>
      </c>
      <c r="E16" s="1">
        <v>31.36</v>
      </c>
      <c r="F16" s="1">
        <v>35.090000000000003</v>
      </c>
      <c r="G16" s="1">
        <v>34.82</v>
      </c>
      <c r="H16" s="1">
        <v>33.5</v>
      </c>
      <c r="I16" s="1">
        <v>33.869999999999997</v>
      </c>
      <c r="J16" s="1">
        <v>33.479999999999997</v>
      </c>
      <c r="K16" s="1">
        <v>33.700000000000003</v>
      </c>
      <c r="L16" s="1">
        <v>31.91</v>
      </c>
      <c r="M16" s="1">
        <v>31.05</v>
      </c>
      <c r="N16" s="1">
        <v>29.61</v>
      </c>
      <c r="O16" s="1">
        <v>28.29</v>
      </c>
      <c r="P16" s="1">
        <v>26.48</v>
      </c>
      <c r="Q16" s="1">
        <v>24.98</v>
      </c>
      <c r="R16" s="1">
        <v>23.18</v>
      </c>
      <c r="S16" s="1">
        <v>22.88</v>
      </c>
      <c r="T16" s="1">
        <v>26.89</v>
      </c>
      <c r="U16" s="1">
        <v>25.73</v>
      </c>
      <c r="V16" s="1">
        <v>23.46</v>
      </c>
      <c r="W16" s="1">
        <v>21.92</v>
      </c>
      <c r="X16" s="1">
        <v>20.9</v>
      </c>
      <c r="Y16" s="1">
        <v>20.22</v>
      </c>
      <c r="Z16" s="1">
        <v>21.25</v>
      </c>
    </row>
    <row r="17" spans="1:26" x14ac:dyDescent="0.2">
      <c r="A17" s="1" t="s">
        <v>16</v>
      </c>
      <c r="B17" s="1">
        <v>38.89</v>
      </c>
      <c r="C17" s="1">
        <v>43.96</v>
      </c>
      <c r="D17" s="1">
        <v>44.53</v>
      </c>
      <c r="E17" s="1">
        <v>48.96</v>
      </c>
      <c r="F17" s="1">
        <v>49.08</v>
      </c>
      <c r="G17" s="1">
        <v>47.1</v>
      </c>
      <c r="H17" s="1">
        <v>44.2</v>
      </c>
      <c r="I17" s="1">
        <v>42.98</v>
      </c>
      <c r="J17" s="1">
        <v>46.3</v>
      </c>
      <c r="K17" s="1">
        <v>45.1</v>
      </c>
      <c r="L17" s="1">
        <v>45.23</v>
      </c>
      <c r="M17" s="1">
        <v>46.53</v>
      </c>
      <c r="N17" s="1">
        <v>45.5</v>
      </c>
      <c r="O17" s="1">
        <v>42.9</v>
      </c>
      <c r="P17" s="1">
        <v>41.6</v>
      </c>
      <c r="Q17" s="1">
        <v>43.84</v>
      </c>
      <c r="R17" s="1">
        <v>41.5</v>
      </c>
      <c r="S17" s="1">
        <v>40.89</v>
      </c>
      <c r="T17" s="1">
        <v>45.06</v>
      </c>
      <c r="U17" s="1">
        <v>43.52</v>
      </c>
      <c r="V17" s="1">
        <v>41.05</v>
      </c>
      <c r="W17" s="1">
        <v>40.840000000000003</v>
      </c>
      <c r="X17" s="1">
        <v>39.26</v>
      </c>
      <c r="Y17" s="1">
        <v>37.35</v>
      </c>
      <c r="Z17" s="1">
        <v>39.68</v>
      </c>
    </row>
    <row r="18" spans="1:26" x14ac:dyDescent="0.2">
      <c r="A18" s="1" t="s">
        <v>11</v>
      </c>
      <c r="B18" s="1">
        <v>34.5</v>
      </c>
      <c r="C18" s="1">
        <v>34.1</v>
      </c>
      <c r="D18" s="1">
        <v>33.36</v>
      </c>
      <c r="E18" s="1">
        <v>31.61</v>
      </c>
      <c r="F18" s="1">
        <v>30.94</v>
      </c>
      <c r="G18" s="1">
        <v>29.8</v>
      </c>
      <c r="H18" s="1">
        <v>29</v>
      </c>
      <c r="I18" s="1">
        <v>27.54</v>
      </c>
      <c r="J18" s="1">
        <v>28.1</v>
      </c>
      <c r="K18" s="1">
        <v>27.6</v>
      </c>
      <c r="L18" s="1">
        <v>28.3</v>
      </c>
      <c r="M18" s="1">
        <v>28.09</v>
      </c>
      <c r="N18" s="1">
        <v>27.82</v>
      </c>
      <c r="O18" s="1">
        <v>27.24</v>
      </c>
      <c r="P18" s="1">
        <v>26.72</v>
      </c>
      <c r="Q18" s="1">
        <v>25.58</v>
      </c>
      <c r="R18" s="1">
        <v>23.91</v>
      </c>
      <c r="S18" s="1">
        <v>23.05</v>
      </c>
      <c r="T18" s="1">
        <v>22.96</v>
      </c>
      <c r="U18" s="1">
        <v>22.33</v>
      </c>
      <c r="V18" s="1">
        <v>20.73</v>
      </c>
      <c r="W18" s="1">
        <v>20.440000000000001</v>
      </c>
      <c r="X18" s="1">
        <v>20.260000000000002</v>
      </c>
      <c r="Y18" s="1">
        <v>19.489999999999998</v>
      </c>
      <c r="Z18" s="1">
        <v>19.07</v>
      </c>
    </row>
    <row r="19" spans="1:26" x14ac:dyDescent="0.2">
      <c r="A19" s="1" t="s">
        <v>17</v>
      </c>
      <c r="B19" s="1">
        <v>36.03</v>
      </c>
      <c r="C19" s="1">
        <v>35.130000000000003</v>
      </c>
      <c r="D19" s="1">
        <v>34.799999999999997</v>
      </c>
      <c r="E19" s="1">
        <v>34.99</v>
      </c>
      <c r="F19" s="1">
        <v>33.4</v>
      </c>
      <c r="G19" s="1">
        <v>31.12</v>
      </c>
      <c r="H19" s="1">
        <v>31.65</v>
      </c>
      <c r="I19" s="1">
        <v>32.18</v>
      </c>
      <c r="J19" s="1">
        <v>34.450000000000003</v>
      </c>
      <c r="K19" s="1">
        <v>34.4</v>
      </c>
      <c r="L19" s="1">
        <v>32.33</v>
      </c>
      <c r="M19" s="1">
        <v>32.51</v>
      </c>
      <c r="N19" s="1">
        <v>33.03</v>
      </c>
      <c r="O19" s="1">
        <v>30.57</v>
      </c>
      <c r="P19" s="1">
        <v>30.49</v>
      </c>
      <c r="Q19" s="1">
        <v>28.88</v>
      </c>
      <c r="R19" s="1">
        <v>27.03</v>
      </c>
      <c r="S19" s="1">
        <v>25.44</v>
      </c>
      <c r="T19" s="1">
        <v>28.23</v>
      </c>
      <c r="U19" s="1">
        <v>26.76</v>
      </c>
      <c r="V19" s="1">
        <v>25.41</v>
      </c>
      <c r="W19" s="1">
        <v>25.14</v>
      </c>
      <c r="X19" s="1">
        <v>23.97</v>
      </c>
      <c r="Y19" s="1">
        <v>22.73</v>
      </c>
      <c r="Z19" s="1">
        <v>22.44</v>
      </c>
    </row>
    <row r="20" spans="1:26" x14ac:dyDescent="0.2">
      <c r="A20" s="1" t="s">
        <v>38</v>
      </c>
      <c r="B20" s="1">
        <v>43.92</v>
      </c>
      <c r="C20" s="1">
        <v>35.68</v>
      </c>
      <c r="D20" s="1">
        <v>45.72</v>
      </c>
      <c r="E20" s="1">
        <v>49.23</v>
      </c>
      <c r="F20" s="1">
        <v>49.84</v>
      </c>
      <c r="G20" s="1">
        <v>51.02</v>
      </c>
      <c r="H20" s="1">
        <v>52.92</v>
      </c>
      <c r="I20" s="1">
        <v>51.91</v>
      </c>
      <c r="J20" s="1">
        <v>46.24</v>
      </c>
      <c r="K20" s="1">
        <v>46.1</v>
      </c>
      <c r="L20" s="1">
        <v>45</v>
      </c>
      <c r="M20" s="1">
        <v>44.97</v>
      </c>
      <c r="N20" s="1">
        <v>44.27</v>
      </c>
      <c r="O20" s="1">
        <v>41.87</v>
      </c>
      <c r="P20" s="1">
        <v>40.6</v>
      </c>
      <c r="Q20" s="1">
        <v>39.659999999999997</v>
      </c>
      <c r="R20" s="1">
        <v>37.78</v>
      </c>
      <c r="S20" s="1">
        <v>36.79</v>
      </c>
      <c r="T20" s="1">
        <v>40.98</v>
      </c>
      <c r="U20" s="1">
        <v>37.89</v>
      </c>
      <c r="V20" s="1">
        <v>36.22</v>
      </c>
      <c r="W20" s="1">
        <v>36.07</v>
      </c>
      <c r="X20" s="1">
        <v>36.4</v>
      </c>
      <c r="Y20" s="1">
        <v>35.229999999999997</v>
      </c>
      <c r="Z20" s="1">
        <v>37.909999999999997</v>
      </c>
    </row>
    <row r="21" spans="1:26" x14ac:dyDescent="0.2">
      <c r="A21" s="1" t="s">
        <v>4</v>
      </c>
      <c r="B21" s="1">
        <v>18.489999999999998</v>
      </c>
      <c r="C21" s="1">
        <v>20.75</v>
      </c>
      <c r="D21" s="1">
        <v>20.57</v>
      </c>
      <c r="E21" s="1">
        <v>19.579999999999998</v>
      </c>
      <c r="F21" s="1">
        <v>19.22</v>
      </c>
      <c r="G21" s="1">
        <v>19.75</v>
      </c>
      <c r="H21" s="1">
        <v>18.47</v>
      </c>
      <c r="I21" s="1">
        <v>19.149999999999999</v>
      </c>
      <c r="J21" s="1">
        <v>18.71</v>
      </c>
      <c r="K21" s="1">
        <v>18.899999999999999</v>
      </c>
      <c r="L21" s="1">
        <v>18.53</v>
      </c>
      <c r="M21" s="1">
        <v>18.45</v>
      </c>
      <c r="N21" s="1">
        <v>17.87</v>
      </c>
      <c r="O21" s="1">
        <v>16.670000000000002</v>
      </c>
      <c r="P21" s="1">
        <v>15.8</v>
      </c>
      <c r="Q21" s="1">
        <v>14.82</v>
      </c>
      <c r="R21" s="1">
        <v>13.45</v>
      </c>
      <c r="S21" s="1">
        <v>12.82</v>
      </c>
      <c r="T21" s="1">
        <v>14.77</v>
      </c>
      <c r="U21" s="1">
        <v>14.14</v>
      </c>
      <c r="V21" s="1">
        <v>13.26</v>
      </c>
      <c r="W21" s="1">
        <v>13.11</v>
      </c>
      <c r="X21" s="1">
        <v>13.05</v>
      </c>
      <c r="Y21" s="1">
        <v>12.94</v>
      </c>
      <c r="Z21" s="1">
        <v>12.48</v>
      </c>
    </row>
    <row r="22" spans="1:26" x14ac:dyDescent="0.2">
      <c r="A22" s="1" t="s">
        <v>6</v>
      </c>
      <c r="B22" s="1">
        <v>29.31</v>
      </c>
      <c r="C22" s="1">
        <v>30.49</v>
      </c>
      <c r="D22" s="1">
        <v>31.37</v>
      </c>
      <c r="E22" s="1">
        <v>30.06</v>
      </c>
      <c r="F22" s="1">
        <v>30.07</v>
      </c>
      <c r="G22" s="1">
        <v>28.92</v>
      </c>
      <c r="H22" s="1">
        <v>28.44</v>
      </c>
      <c r="I22" s="1">
        <v>26.91</v>
      </c>
      <c r="J22" s="1">
        <v>27.78</v>
      </c>
      <c r="K22" s="1">
        <v>27.1</v>
      </c>
      <c r="L22" s="1">
        <v>26.9</v>
      </c>
      <c r="M22" s="1">
        <v>26.4</v>
      </c>
      <c r="N22" s="1">
        <v>26.3</v>
      </c>
      <c r="O22" s="1">
        <v>25.15</v>
      </c>
      <c r="P22" s="1">
        <v>24.6</v>
      </c>
      <c r="Q22" s="1">
        <v>22.84</v>
      </c>
      <c r="R22" s="1">
        <v>19.86</v>
      </c>
      <c r="S22" s="1">
        <v>19.48</v>
      </c>
      <c r="T22" s="1">
        <v>24.14</v>
      </c>
      <c r="U22" s="1">
        <v>24.44</v>
      </c>
      <c r="V22" s="1">
        <v>24.08</v>
      </c>
      <c r="W22" s="1">
        <v>24.79</v>
      </c>
      <c r="X22" s="1">
        <v>24.92</v>
      </c>
      <c r="Y22" s="1">
        <v>23.39</v>
      </c>
      <c r="Z22" s="1">
        <v>22.11</v>
      </c>
    </row>
    <row r="23" spans="1:26" x14ac:dyDescent="0.2">
      <c r="A23" s="1" t="s">
        <v>28</v>
      </c>
      <c r="B23" s="1">
        <v>35.42</v>
      </c>
      <c r="C23" s="1">
        <v>47.43</v>
      </c>
      <c r="D23" s="1">
        <v>46.64</v>
      </c>
      <c r="E23" s="1">
        <v>46.53</v>
      </c>
      <c r="F23" s="1">
        <v>45.92</v>
      </c>
      <c r="G23" s="1">
        <v>47.23</v>
      </c>
      <c r="H23" s="1">
        <v>45.21</v>
      </c>
      <c r="I23" s="1">
        <v>46.97</v>
      </c>
      <c r="J23" s="1">
        <v>45.51</v>
      </c>
      <c r="K23" s="1">
        <v>43.2</v>
      </c>
      <c r="L23" s="1">
        <v>44.02</v>
      </c>
      <c r="M23" s="1">
        <v>43.98</v>
      </c>
      <c r="N23" s="1">
        <v>42.62</v>
      </c>
      <c r="O23" s="1">
        <v>43.52</v>
      </c>
      <c r="P23" s="1">
        <v>44.48</v>
      </c>
      <c r="Q23" s="1">
        <v>43.37</v>
      </c>
      <c r="R23" s="1">
        <v>42.19</v>
      </c>
      <c r="S23" s="1">
        <v>41.2</v>
      </c>
      <c r="T23" s="1">
        <v>42.8</v>
      </c>
      <c r="U23" s="1">
        <v>42.13</v>
      </c>
      <c r="V23" s="1">
        <v>41.59</v>
      </c>
      <c r="W23" s="1">
        <v>38.799999999999997</v>
      </c>
      <c r="X23" s="1">
        <v>39.630000000000003</v>
      </c>
      <c r="Y23" s="1">
        <v>36.54</v>
      </c>
      <c r="Z23" s="1">
        <v>37.729999999999997</v>
      </c>
    </row>
    <row r="24" spans="1:26" x14ac:dyDescent="0.2">
      <c r="A24" s="1" t="s">
        <v>8</v>
      </c>
      <c r="B24" s="1">
        <v>38.96</v>
      </c>
      <c r="C24" s="1">
        <v>41.79</v>
      </c>
      <c r="D24" s="1">
        <v>44.06</v>
      </c>
      <c r="E24" s="1">
        <v>48.12</v>
      </c>
      <c r="F24" s="1">
        <v>48.92</v>
      </c>
      <c r="G24" s="1">
        <v>51.76</v>
      </c>
      <c r="H24" s="1">
        <v>56.31</v>
      </c>
      <c r="I24" s="1">
        <v>57</v>
      </c>
      <c r="J24" s="1">
        <v>51.91</v>
      </c>
      <c r="K24" s="1">
        <v>52.2</v>
      </c>
      <c r="L24" s="1">
        <v>49.06</v>
      </c>
      <c r="M24" s="1">
        <v>47.06</v>
      </c>
      <c r="N24" s="1">
        <v>45.29</v>
      </c>
      <c r="O24" s="1">
        <v>41.96</v>
      </c>
      <c r="P24" s="1">
        <v>42.08</v>
      </c>
      <c r="Q24" s="1">
        <v>40.89</v>
      </c>
      <c r="R24" s="1">
        <v>38.71</v>
      </c>
      <c r="S24" s="1">
        <v>36.65</v>
      </c>
      <c r="T24" s="1">
        <v>43.53</v>
      </c>
      <c r="U24" s="1">
        <v>42.15</v>
      </c>
      <c r="V24" s="1">
        <v>39.19</v>
      </c>
      <c r="W24" s="1">
        <v>39.65</v>
      </c>
      <c r="X24" s="1">
        <v>39.99</v>
      </c>
      <c r="Y24" s="1">
        <v>39.950000000000003</v>
      </c>
      <c r="Z24" s="1">
        <v>42.9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C25A-183D-9D42-B126-2330A7408DCB}">
  <dimension ref="A1:L22"/>
  <sheetViews>
    <sheetView workbookViewId="0">
      <selection activeCell="B61" sqref="B61"/>
    </sheetView>
  </sheetViews>
  <sheetFormatPr baseColWidth="10" defaultRowHeight="16" x14ac:dyDescent="0.2"/>
  <cols>
    <col min="1" max="16384" width="10.83203125" style="1"/>
  </cols>
  <sheetData>
    <row r="1" spans="1:12" x14ac:dyDescent="0.2">
      <c r="B1" s="1">
        <v>1990</v>
      </c>
      <c r="C1" s="1">
        <v>1991</v>
      </c>
      <c r="D1" s="1">
        <v>1992</v>
      </c>
      <c r="E1" s="1">
        <v>1993</v>
      </c>
      <c r="F1" s="1">
        <v>1994</v>
      </c>
      <c r="G1" s="1">
        <v>1995</v>
      </c>
      <c r="H1" s="1">
        <v>1996</v>
      </c>
      <c r="I1" s="1">
        <v>1997</v>
      </c>
      <c r="J1" s="1">
        <v>1998</v>
      </c>
      <c r="K1" s="1">
        <v>1999</v>
      </c>
      <c r="L1" s="1">
        <v>2000</v>
      </c>
    </row>
    <row r="2" spans="1:12" x14ac:dyDescent="0.2">
      <c r="A2" s="1" t="s">
        <v>27</v>
      </c>
      <c r="B2" s="5"/>
      <c r="C2" s="5"/>
      <c r="D2" s="5"/>
      <c r="E2" s="5"/>
      <c r="F2" s="5"/>
      <c r="G2" s="5">
        <v>30.2</v>
      </c>
      <c r="H2" s="5">
        <v>30.2</v>
      </c>
      <c r="I2" s="5"/>
      <c r="J2" s="5"/>
      <c r="K2" s="5"/>
      <c r="L2" s="5">
        <v>34.200000000000003</v>
      </c>
    </row>
    <row r="3" spans="1:12" x14ac:dyDescent="0.2">
      <c r="A3" s="1" t="s">
        <v>23</v>
      </c>
      <c r="B3" s="5"/>
      <c r="C3" s="5"/>
      <c r="D3" s="5"/>
      <c r="E3" s="5"/>
      <c r="F3" s="5">
        <v>27</v>
      </c>
      <c r="G3" s="5">
        <v>31.6</v>
      </c>
      <c r="H3" s="5"/>
      <c r="I3" s="5"/>
      <c r="J3" s="5"/>
      <c r="K3" s="5"/>
      <c r="L3" s="5">
        <v>30.2</v>
      </c>
    </row>
    <row r="4" spans="1:12" x14ac:dyDescent="0.2">
      <c r="A4" s="1" t="s">
        <v>3</v>
      </c>
      <c r="B4" s="5">
        <v>5.7</v>
      </c>
      <c r="C4" s="5"/>
      <c r="D4" s="5"/>
      <c r="E4" s="5"/>
      <c r="F4" s="5"/>
      <c r="G4" s="5">
        <v>11.9</v>
      </c>
      <c r="H4" s="5"/>
      <c r="I4" s="5"/>
      <c r="J4" s="5"/>
      <c r="K4" s="5"/>
      <c r="L4" s="5">
        <v>11.1</v>
      </c>
    </row>
    <row r="5" spans="1:12" x14ac:dyDescent="0.2">
      <c r="A5" s="1" t="s">
        <v>22</v>
      </c>
      <c r="B5" s="5"/>
      <c r="C5" s="5"/>
      <c r="D5" s="5"/>
      <c r="E5" s="5"/>
      <c r="F5" s="5"/>
      <c r="G5" s="5">
        <v>27.8</v>
      </c>
      <c r="H5" s="5">
        <v>27.8</v>
      </c>
      <c r="I5" s="5"/>
      <c r="J5" s="5"/>
      <c r="K5" s="5"/>
      <c r="L5" s="5">
        <v>16.3</v>
      </c>
    </row>
    <row r="6" spans="1:12" x14ac:dyDescent="0.2">
      <c r="A6" s="1" t="s">
        <v>12</v>
      </c>
      <c r="B6" s="5"/>
      <c r="C6" s="5"/>
      <c r="D6" s="5"/>
      <c r="E6" s="5"/>
      <c r="F6" s="5"/>
      <c r="G6" s="5"/>
      <c r="H6" s="5"/>
      <c r="I6" s="5"/>
      <c r="J6" s="5">
        <v>8.9</v>
      </c>
      <c r="K6" s="5">
        <v>8.1</v>
      </c>
      <c r="L6" s="5">
        <v>8.1</v>
      </c>
    </row>
    <row r="7" spans="1:12" x14ac:dyDescent="0.2">
      <c r="A7" s="1" t="s">
        <v>37</v>
      </c>
      <c r="B7" s="5"/>
      <c r="C7" s="5"/>
      <c r="D7" s="5"/>
      <c r="E7" s="5"/>
      <c r="F7" s="5"/>
      <c r="G7" s="5"/>
      <c r="H7" s="5"/>
      <c r="I7" s="5"/>
      <c r="J7" s="5"/>
      <c r="K7" s="5"/>
      <c r="L7" s="5">
        <v>9.1</v>
      </c>
    </row>
    <row r="8" spans="1:12" x14ac:dyDescent="0.2">
      <c r="A8" s="1" t="s">
        <v>26</v>
      </c>
      <c r="B8" s="5"/>
      <c r="C8" s="5"/>
      <c r="D8" s="5"/>
      <c r="E8" s="5"/>
      <c r="F8" s="5"/>
      <c r="G8" s="5">
        <v>26.9</v>
      </c>
      <c r="H8" s="5">
        <v>26.9</v>
      </c>
      <c r="I8" s="5"/>
      <c r="J8" s="5"/>
      <c r="K8" s="5"/>
      <c r="L8" s="5">
        <v>30.4</v>
      </c>
    </row>
    <row r="9" spans="1:12" x14ac:dyDescent="0.2">
      <c r="A9" s="1" t="s">
        <v>9</v>
      </c>
      <c r="B9" s="5"/>
      <c r="C9" s="5"/>
      <c r="D9" s="5"/>
      <c r="E9" s="5">
        <v>16</v>
      </c>
      <c r="F9" s="5"/>
      <c r="G9" s="5">
        <v>16</v>
      </c>
      <c r="H9" s="5"/>
      <c r="I9" s="5"/>
      <c r="J9" s="5"/>
      <c r="K9" s="5"/>
      <c r="L9" s="5">
        <v>16</v>
      </c>
    </row>
    <row r="10" spans="1:12" x14ac:dyDescent="0.2">
      <c r="A10" s="1" t="s">
        <v>7</v>
      </c>
      <c r="B10" s="5"/>
      <c r="C10" s="5"/>
      <c r="D10" s="5"/>
      <c r="E10" s="5"/>
      <c r="F10" s="5"/>
      <c r="G10" s="5"/>
      <c r="H10" s="5"/>
      <c r="I10" s="5">
        <v>37.9</v>
      </c>
      <c r="J10" s="5"/>
      <c r="K10" s="5"/>
      <c r="L10" s="5"/>
    </row>
    <row r="11" spans="1:12" x14ac:dyDescent="0.2">
      <c r="A11" s="1" t="s">
        <v>14</v>
      </c>
      <c r="B11" s="5"/>
      <c r="C11" s="5"/>
      <c r="D11" s="5"/>
      <c r="E11" s="5"/>
      <c r="F11" s="5"/>
      <c r="G11" s="5">
        <v>8.4</v>
      </c>
      <c r="H11" s="5"/>
      <c r="I11" s="5"/>
      <c r="J11" s="5"/>
      <c r="K11" s="5"/>
      <c r="L11" s="5">
        <v>13.1</v>
      </c>
    </row>
    <row r="12" spans="1:12" x14ac:dyDescent="0.2">
      <c r="A12" s="1" t="s">
        <v>20</v>
      </c>
      <c r="B12" s="5"/>
      <c r="C12" s="5"/>
      <c r="D12" s="5"/>
      <c r="E12" s="5"/>
      <c r="F12" s="5"/>
      <c r="G12" s="5"/>
      <c r="H12" s="5"/>
      <c r="I12" s="5">
        <v>16</v>
      </c>
      <c r="J12" s="5">
        <v>16.8</v>
      </c>
      <c r="K12" s="5"/>
      <c r="L12" s="5"/>
    </row>
    <row r="13" spans="1:12" x14ac:dyDescent="0.2">
      <c r="A13" s="1" t="s">
        <v>21</v>
      </c>
      <c r="B13" s="5"/>
      <c r="C13" s="5"/>
      <c r="D13" s="5">
        <v>20.100000000000001</v>
      </c>
      <c r="E13" s="5"/>
      <c r="F13" s="5"/>
      <c r="G13" s="5">
        <v>19.100000000000001</v>
      </c>
      <c r="H13" s="5"/>
      <c r="I13" s="5"/>
      <c r="J13" s="5"/>
      <c r="K13" s="5"/>
      <c r="L13" s="5">
        <v>18</v>
      </c>
    </row>
    <row r="14" spans="1:12" x14ac:dyDescent="0.2">
      <c r="A14" s="1" t="s">
        <v>15</v>
      </c>
      <c r="B14" s="5"/>
      <c r="C14" s="5"/>
      <c r="D14" s="5"/>
      <c r="E14" s="5"/>
      <c r="F14" s="5"/>
      <c r="G14" s="5"/>
      <c r="H14" s="5"/>
      <c r="I14" s="5"/>
      <c r="J14" s="5"/>
      <c r="K14" s="5">
        <v>13.7</v>
      </c>
      <c r="L14" s="5">
        <v>13.7</v>
      </c>
    </row>
    <row r="15" spans="1:12" x14ac:dyDescent="0.2">
      <c r="A15" s="1" t="s">
        <v>16</v>
      </c>
      <c r="B15" s="5"/>
      <c r="C15" s="5"/>
      <c r="D15" s="5"/>
      <c r="E15" s="5">
        <v>32.6</v>
      </c>
      <c r="F15" s="5"/>
      <c r="G15" s="5">
        <v>26.2</v>
      </c>
      <c r="H15" s="5"/>
      <c r="I15" s="5"/>
      <c r="J15" s="5"/>
      <c r="K15" s="5"/>
      <c r="L15" s="5">
        <v>34.6</v>
      </c>
    </row>
    <row r="16" spans="1:12" x14ac:dyDescent="0.2">
      <c r="A16" s="1" t="s">
        <v>11</v>
      </c>
      <c r="B16" s="5"/>
      <c r="C16" s="5"/>
      <c r="D16" s="5"/>
      <c r="E16" s="5"/>
      <c r="F16" s="5"/>
      <c r="G16" s="5">
        <v>16.600000000000001</v>
      </c>
      <c r="H16" s="5"/>
      <c r="I16" s="5"/>
      <c r="J16" s="5"/>
      <c r="K16" s="5"/>
      <c r="L16" s="5">
        <v>14.6</v>
      </c>
    </row>
    <row r="17" spans="1:12" x14ac:dyDescent="0.2">
      <c r="A17" s="1" t="s">
        <v>17</v>
      </c>
      <c r="B17" s="5"/>
      <c r="C17" s="5"/>
      <c r="D17" s="5"/>
      <c r="E17" s="5"/>
      <c r="F17" s="5"/>
      <c r="G17" s="5">
        <v>16.600000000000001</v>
      </c>
      <c r="H17" s="5"/>
      <c r="I17" s="5"/>
      <c r="J17" s="5"/>
      <c r="K17" s="5"/>
      <c r="L17" s="5">
        <v>21.1</v>
      </c>
    </row>
    <row r="18" spans="1:12" x14ac:dyDescent="0.2">
      <c r="A18" s="1" t="s">
        <v>38</v>
      </c>
      <c r="B18" s="5"/>
      <c r="C18" s="5"/>
      <c r="D18" s="5"/>
      <c r="E18" s="5">
        <v>5.3</v>
      </c>
      <c r="F18" s="5"/>
      <c r="G18" s="5">
        <v>10.4</v>
      </c>
      <c r="H18" s="5"/>
      <c r="I18" s="5"/>
      <c r="J18" s="5"/>
      <c r="K18" s="5"/>
      <c r="L18" s="5">
        <v>24.8</v>
      </c>
    </row>
    <row r="19" spans="1:12" x14ac:dyDescent="0.2">
      <c r="A19" s="1" t="s">
        <v>4</v>
      </c>
      <c r="B19" s="5"/>
      <c r="C19" s="5"/>
      <c r="D19" s="5"/>
      <c r="E19" s="5"/>
      <c r="F19" s="5"/>
      <c r="G19" s="5">
        <v>11.9</v>
      </c>
      <c r="H19" s="5"/>
      <c r="I19" s="5"/>
      <c r="J19" s="5"/>
      <c r="K19" s="5"/>
      <c r="L19" s="5">
        <v>15.6</v>
      </c>
    </row>
    <row r="20" spans="1:12" x14ac:dyDescent="0.2">
      <c r="A20" s="1" t="s">
        <v>6</v>
      </c>
      <c r="B20" s="5"/>
      <c r="C20" s="5"/>
      <c r="D20" s="5"/>
      <c r="E20" s="5"/>
      <c r="F20" s="5"/>
      <c r="G20" s="5">
        <v>6.4</v>
      </c>
      <c r="H20" s="5"/>
      <c r="I20" s="5"/>
      <c r="J20" s="5"/>
      <c r="K20" s="5"/>
      <c r="L20" s="5">
        <v>6.6</v>
      </c>
    </row>
    <row r="21" spans="1:12" x14ac:dyDescent="0.2">
      <c r="A21" s="1" t="s">
        <v>8</v>
      </c>
      <c r="B21" s="5"/>
      <c r="C21" s="5"/>
      <c r="D21" s="5"/>
      <c r="E21" s="5"/>
      <c r="F21" s="5"/>
      <c r="G21" s="5"/>
      <c r="H21" s="5"/>
      <c r="I21" s="5"/>
      <c r="J21" s="5"/>
      <c r="K21" s="5"/>
      <c r="L21" s="5">
        <v>20</v>
      </c>
    </row>
    <row r="22" spans="1:12" x14ac:dyDescent="0.2">
      <c r="A22" s="1" t="s">
        <v>33</v>
      </c>
      <c r="B22" s="5"/>
      <c r="C22" s="5"/>
      <c r="D22" s="5"/>
      <c r="E22" s="5"/>
      <c r="F22" s="5"/>
      <c r="G22" s="5"/>
      <c r="H22" s="5"/>
      <c r="I22" s="5"/>
      <c r="J22" s="5">
        <v>31</v>
      </c>
      <c r="K22" s="5"/>
      <c r="L22" s="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E2BE0-0B22-1248-9FE3-67B7B5CCB39B}">
  <dimension ref="A1:AV30"/>
  <sheetViews>
    <sheetView workbookViewId="0">
      <selection activeCell="B61" sqref="B61"/>
    </sheetView>
  </sheetViews>
  <sheetFormatPr baseColWidth="10" defaultRowHeight="16" x14ac:dyDescent="0.2"/>
  <cols>
    <col min="1" max="16384" width="10.83203125" style="1"/>
  </cols>
  <sheetData>
    <row r="1" spans="1:48" x14ac:dyDescent="0.2">
      <c r="B1" s="1">
        <v>1970</v>
      </c>
      <c r="C1" s="1">
        <v>1971</v>
      </c>
      <c r="D1" s="1">
        <v>1972</v>
      </c>
      <c r="E1" s="1">
        <v>1973</v>
      </c>
      <c r="F1" s="1">
        <v>1974</v>
      </c>
      <c r="G1" s="1">
        <v>1975</v>
      </c>
      <c r="H1" s="1">
        <v>1976</v>
      </c>
      <c r="I1" s="1">
        <v>1977</v>
      </c>
      <c r="J1" s="1">
        <v>1978</v>
      </c>
      <c r="K1" s="1">
        <v>1979</v>
      </c>
      <c r="L1" s="1">
        <v>1980</v>
      </c>
      <c r="M1" s="1">
        <v>1981</v>
      </c>
      <c r="N1" s="1">
        <v>1982</v>
      </c>
      <c r="O1" s="1">
        <v>1983</v>
      </c>
      <c r="P1" s="1">
        <v>1984</v>
      </c>
      <c r="Q1" s="1">
        <v>1985</v>
      </c>
      <c r="R1" s="1">
        <v>1986</v>
      </c>
      <c r="S1" s="1">
        <v>1987</v>
      </c>
      <c r="T1" s="1">
        <v>1988</v>
      </c>
      <c r="U1" s="1">
        <v>1989</v>
      </c>
      <c r="V1" s="1">
        <v>1990</v>
      </c>
      <c r="W1" s="1">
        <v>1991</v>
      </c>
      <c r="X1" s="1">
        <v>1992</v>
      </c>
      <c r="Y1" s="1">
        <v>1993</v>
      </c>
      <c r="Z1" s="1">
        <v>1994</v>
      </c>
      <c r="AA1" s="1">
        <v>1995</v>
      </c>
      <c r="AB1" s="1">
        <v>1996</v>
      </c>
      <c r="AC1" s="1">
        <v>1997</v>
      </c>
      <c r="AD1" s="1">
        <v>1998</v>
      </c>
      <c r="AE1" s="1">
        <v>1999</v>
      </c>
      <c r="AF1" s="1">
        <v>2000</v>
      </c>
      <c r="AG1" s="1">
        <v>2001</v>
      </c>
      <c r="AH1" s="1">
        <v>2002</v>
      </c>
      <c r="AI1" s="1">
        <v>2003</v>
      </c>
      <c r="AJ1" s="1">
        <v>2004</v>
      </c>
      <c r="AK1" s="1">
        <v>2005</v>
      </c>
      <c r="AL1" s="1">
        <v>2006</v>
      </c>
      <c r="AM1" s="1">
        <v>2007</v>
      </c>
      <c r="AN1" s="1">
        <v>2008</v>
      </c>
      <c r="AO1" s="1">
        <v>2009</v>
      </c>
      <c r="AP1" s="1">
        <v>2010</v>
      </c>
      <c r="AQ1" s="1">
        <v>2011</v>
      </c>
      <c r="AR1" s="1">
        <v>2012</v>
      </c>
      <c r="AS1" s="1">
        <v>2013</v>
      </c>
      <c r="AT1" s="1">
        <v>2014</v>
      </c>
      <c r="AU1" s="1">
        <v>2015</v>
      </c>
      <c r="AV1" s="1">
        <v>2016</v>
      </c>
    </row>
    <row r="2" spans="1:48" x14ac:dyDescent="0.2">
      <c r="A2" s="1" t="s">
        <v>27</v>
      </c>
      <c r="B2" s="1">
        <v>7.9960000000000004</v>
      </c>
      <c r="C2" s="1">
        <v>7.7969999999999997</v>
      </c>
      <c r="D2" s="1">
        <v>7.59</v>
      </c>
      <c r="E2" s="1">
        <v>7.3810000000000002</v>
      </c>
      <c r="F2" s="1">
        <v>7.1719999999999997</v>
      </c>
      <c r="G2" s="1">
        <v>6.9690000000000003</v>
      </c>
      <c r="H2" s="1">
        <v>6.782</v>
      </c>
      <c r="I2" s="1">
        <v>6.6189999999999998</v>
      </c>
      <c r="J2" s="1">
        <v>6.4829999999999997</v>
      </c>
      <c r="K2" s="1">
        <v>6.3760000000000003</v>
      </c>
      <c r="L2" s="1">
        <v>6.2889999999999997</v>
      </c>
      <c r="M2" s="1">
        <v>6.2130000000000001</v>
      </c>
      <c r="N2" s="1">
        <v>6.1379999999999999</v>
      </c>
      <c r="O2" s="1">
        <v>6.06</v>
      </c>
      <c r="P2" s="1">
        <v>5.98</v>
      </c>
      <c r="Q2" s="1">
        <v>5.907</v>
      </c>
      <c r="R2" s="1">
        <v>5.8559999999999999</v>
      </c>
      <c r="S2" s="1">
        <v>5.8380000000000001</v>
      </c>
      <c r="T2" s="1">
        <v>5.8570000000000002</v>
      </c>
      <c r="U2" s="1">
        <v>5.9109999999999996</v>
      </c>
      <c r="V2" s="1">
        <v>5.9889999999999999</v>
      </c>
      <c r="W2" s="1">
        <v>6.0780000000000003</v>
      </c>
      <c r="X2" s="1">
        <v>6.16</v>
      </c>
      <c r="Y2" s="1">
        <v>6.2229999999999999</v>
      </c>
      <c r="Z2" s="1">
        <v>6.258</v>
      </c>
      <c r="AA2" s="1">
        <v>6.258</v>
      </c>
      <c r="AB2" s="1">
        <v>6.2220000000000004</v>
      </c>
      <c r="AC2" s="1">
        <v>6.157</v>
      </c>
      <c r="AD2" s="1">
        <v>6.077</v>
      </c>
      <c r="AE2" s="1">
        <v>5.9930000000000003</v>
      </c>
      <c r="AF2" s="1">
        <v>5.9249999999999998</v>
      </c>
      <c r="AG2" s="1">
        <v>5.8920000000000003</v>
      </c>
      <c r="AH2" s="1">
        <v>5.907</v>
      </c>
      <c r="AI2" s="1">
        <v>5.9729999999999999</v>
      </c>
      <c r="AJ2" s="1">
        <v>6.0860000000000003</v>
      </c>
      <c r="AK2" s="1">
        <v>6.2309999999999999</v>
      </c>
      <c r="AL2" s="1">
        <v>6.3860000000000001</v>
      </c>
      <c r="AM2" s="1">
        <v>6.5270000000000001</v>
      </c>
      <c r="AN2" s="1">
        <v>6.64</v>
      </c>
      <c r="AO2" s="1">
        <v>6.72</v>
      </c>
      <c r="AP2" s="1">
        <v>6.7759999999999998</v>
      </c>
      <c r="AQ2" s="1">
        <v>6.8220000000000001</v>
      </c>
      <c r="AR2" s="1">
        <v>6.8789999999999996</v>
      </c>
      <c r="AS2" s="1">
        <v>6.9630000000000001</v>
      </c>
      <c r="AT2" s="1">
        <v>7.0759999999999996</v>
      </c>
      <c r="AU2" s="1">
        <v>7.2169999999999996</v>
      </c>
      <c r="AV2" s="1">
        <v>7.3789999999999996</v>
      </c>
    </row>
    <row r="3" spans="1:48" x14ac:dyDescent="0.2">
      <c r="A3" s="1" t="s">
        <v>23</v>
      </c>
      <c r="B3" s="1">
        <v>6.2030000000000003</v>
      </c>
      <c r="C3" s="1">
        <v>6.0810000000000004</v>
      </c>
      <c r="D3" s="1">
        <v>6.0119999999999996</v>
      </c>
      <c r="E3" s="1">
        <v>5.9880000000000004</v>
      </c>
      <c r="F3" s="1">
        <v>6</v>
      </c>
      <c r="G3" s="1">
        <v>6.0359999999999996</v>
      </c>
      <c r="H3" s="1">
        <v>6.0819999999999999</v>
      </c>
      <c r="I3" s="1">
        <v>6.1289999999999996</v>
      </c>
      <c r="J3" s="1">
        <v>6.1740000000000004</v>
      </c>
      <c r="K3" s="1">
        <v>6.2190000000000003</v>
      </c>
      <c r="L3" s="1">
        <v>6.274</v>
      </c>
      <c r="M3" s="1">
        <v>6.36</v>
      </c>
      <c r="N3" s="1">
        <v>6.49</v>
      </c>
      <c r="O3" s="1">
        <v>6.6710000000000003</v>
      </c>
      <c r="P3" s="1">
        <v>6.899</v>
      </c>
      <c r="Q3" s="1">
        <v>7.1660000000000004</v>
      </c>
      <c r="R3" s="1">
        <v>7.4569999999999999</v>
      </c>
      <c r="S3" s="1">
        <v>7.7510000000000003</v>
      </c>
      <c r="T3" s="1">
        <v>8.0280000000000005</v>
      </c>
      <c r="U3" s="1">
        <v>8.2729999999999997</v>
      </c>
      <c r="V3" s="1">
        <v>8.4730000000000008</v>
      </c>
      <c r="W3" s="1">
        <v>8.6189999999999998</v>
      </c>
      <c r="X3" s="1">
        <v>8.7149999999999999</v>
      </c>
      <c r="Y3" s="1">
        <v>8.7690000000000001</v>
      </c>
      <c r="Z3" s="1">
        <v>8.7850000000000001</v>
      </c>
      <c r="AA3" s="1">
        <v>8.7680000000000007</v>
      </c>
      <c r="AB3" s="1">
        <v>8.7270000000000003</v>
      </c>
      <c r="AC3" s="1">
        <v>8.6739999999999995</v>
      </c>
      <c r="AD3" s="1">
        <v>8.6219999999999999</v>
      </c>
      <c r="AE3" s="1">
        <v>8.5830000000000002</v>
      </c>
      <c r="AF3" s="1">
        <v>8.5749999999999993</v>
      </c>
      <c r="AG3" s="1">
        <v>8.6120000000000001</v>
      </c>
      <c r="AH3" s="1">
        <v>8.6969999999999992</v>
      </c>
      <c r="AI3" s="1">
        <v>8.8239999999999998</v>
      </c>
      <c r="AJ3" s="1">
        <v>8.9860000000000007</v>
      </c>
      <c r="AK3" s="1">
        <v>9.1679999999999993</v>
      </c>
      <c r="AL3" s="1">
        <v>9.3490000000000002</v>
      </c>
      <c r="AM3" s="1">
        <v>9.5090000000000003</v>
      </c>
      <c r="AN3" s="1">
        <v>9.6340000000000003</v>
      </c>
      <c r="AO3" s="1">
        <v>9.7170000000000005</v>
      </c>
      <c r="AP3" s="1">
        <v>9.7569999999999997</v>
      </c>
      <c r="AQ3" s="1">
        <v>9.7620000000000005</v>
      </c>
      <c r="AR3" s="1">
        <v>9.7469999999999999</v>
      </c>
      <c r="AS3" s="1">
        <v>9.7270000000000003</v>
      </c>
      <c r="AT3" s="1">
        <v>9.7080000000000002</v>
      </c>
      <c r="AU3" s="1">
        <v>9.6940000000000008</v>
      </c>
      <c r="AV3" s="1">
        <v>9.6880000000000006</v>
      </c>
    </row>
    <row r="4" spans="1:48" x14ac:dyDescent="0.2">
      <c r="A4" s="1" t="s">
        <v>29</v>
      </c>
      <c r="B4" s="1">
        <v>9.4909999999999997</v>
      </c>
      <c r="C4" s="1">
        <v>9.2319999999999993</v>
      </c>
      <c r="D4" s="1">
        <v>9.0129999999999999</v>
      </c>
      <c r="E4" s="1">
        <v>8.827</v>
      </c>
      <c r="F4" s="1">
        <v>8.6760000000000002</v>
      </c>
      <c r="G4" s="1">
        <v>8.5570000000000004</v>
      </c>
      <c r="H4" s="1">
        <v>8.4719999999999995</v>
      </c>
      <c r="I4" s="1">
        <v>8.4139999999999997</v>
      </c>
      <c r="J4" s="1">
        <v>8.3789999999999996</v>
      </c>
      <c r="K4" s="1">
        <v>8.3620000000000001</v>
      </c>
      <c r="L4" s="1">
        <v>8.3580000000000005</v>
      </c>
      <c r="M4" s="1">
        <v>6.9</v>
      </c>
      <c r="N4" s="1">
        <v>6.7</v>
      </c>
      <c r="O4" s="1">
        <v>6.6</v>
      </c>
      <c r="P4" s="1">
        <v>6.8</v>
      </c>
      <c r="Q4" s="1">
        <v>6.8</v>
      </c>
      <c r="R4" s="1">
        <v>6.7</v>
      </c>
      <c r="S4" s="1">
        <v>6.7</v>
      </c>
      <c r="T4" s="1">
        <v>6.8</v>
      </c>
      <c r="U4" s="1">
        <v>6.4</v>
      </c>
      <c r="V4" s="1">
        <v>6.1</v>
      </c>
      <c r="W4" s="1">
        <v>6.3</v>
      </c>
      <c r="X4" s="1">
        <v>7.1</v>
      </c>
      <c r="Y4" s="1">
        <v>7.2</v>
      </c>
      <c r="Z4" s="1">
        <v>7.3</v>
      </c>
      <c r="AA4" s="1">
        <v>6.7</v>
      </c>
      <c r="AB4" s="1">
        <v>6.2</v>
      </c>
      <c r="AC4" s="1">
        <v>6</v>
      </c>
      <c r="AD4" s="1">
        <v>5.9</v>
      </c>
      <c r="AE4" s="1">
        <v>5.8</v>
      </c>
      <c r="AF4" s="1">
        <v>5.8</v>
      </c>
      <c r="AG4" s="1">
        <v>5.6</v>
      </c>
      <c r="AH4" s="1">
        <v>5.7</v>
      </c>
      <c r="AI4" s="1">
        <v>6</v>
      </c>
      <c r="AJ4" s="1">
        <v>6</v>
      </c>
      <c r="AK4" s="1">
        <v>6.2</v>
      </c>
      <c r="AL4" s="1">
        <v>6.2</v>
      </c>
      <c r="AM4" s="1">
        <v>6.3</v>
      </c>
      <c r="AN4" s="1">
        <v>6</v>
      </c>
      <c r="AO4" s="1">
        <v>5.9</v>
      </c>
      <c r="AP4" s="1">
        <v>5.9</v>
      </c>
      <c r="AQ4" s="1">
        <v>5.9</v>
      </c>
      <c r="AR4" s="1">
        <v>5.9</v>
      </c>
      <c r="AS4" s="1">
        <v>5.8</v>
      </c>
      <c r="AT4" s="1">
        <v>5.8</v>
      </c>
      <c r="AU4" s="1">
        <v>5.7</v>
      </c>
      <c r="AV4" s="1">
        <v>5.8</v>
      </c>
    </row>
    <row r="5" spans="1:48" x14ac:dyDescent="0.2">
      <c r="A5" s="1" t="s">
        <v>3</v>
      </c>
      <c r="B5" s="1">
        <v>9.0109999999999992</v>
      </c>
      <c r="C5" s="1">
        <v>9.0730000000000004</v>
      </c>
      <c r="D5" s="1">
        <v>9.1530000000000005</v>
      </c>
      <c r="E5" s="1">
        <v>9.2460000000000004</v>
      </c>
      <c r="F5" s="1">
        <v>9.3520000000000003</v>
      </c>
      <c r="G5" s="1">
        <v>9.4710000000000001</v>
      </c>
      <c r="H5" s="1">
        <v>8.8000000000000007</v>
      </c>
      <c r="I5" s="1">
        <v>8.9</v>
      </c>
      <c r="J5" s="1">
        <v>9.1</v>
      </c>
      <c r="K5" s="1">
        <v>9.5</v>
      </c>
      <c r="L5" s="1">
        <v>9.9</v>
      </c>
      <c r="M5" s="1">
        <v>9.6</v>
      </c>
      <c r="N5" s="1">
        <v>9.6</v>
      </c>
      <c r="O5" s="1">
        <v>9.9</v>
      </c>
      <c r="P5" s="1">
        <v>10.5</v>
      </c>
      <c r="Q5" s="1">
        <v>10.6</v>
      </c>
      <c r="R5" s="1">
        <v>9.6999999999999993</v>
      </c>
      <c r="S5" s="1">
        <v>9.9</v>
      </c>
      <c r="T5" s="1">
        <v>10.1</v>
      </c>
      <c r="U5" s="1">
        <v>10.199999999999999</v>
      </c>
      <c r="V5" s="1">
        <v>10.8</v>
      </c>
      <c r="W5" s="1">
        <v>11.2</v>
      </c>
      <c r="X5" s="1">
        <v>11.4</v>
      </c>
      <c r="Y5" s="1">
        <v>12.6</v>
      </c>
      <c r="Z5" s="1">
        <v>12.7</v>
      </c>
      <c r="AA5" s="1">
        <v>13.1</v>
      </c>
      <c r="AB5" s="1">
        <v>13.1</v>
      </c>
      <c r="AC5" s="1">
        <v>13.5</v>
      </c>
      <c r="AD5" s="1">
        <v>13.6</v>
      </c>
      <c r="AE5" s="1">
        <v>14.2</v>
      </c>
      <c r="AF5" s="1">
        <v>13.5</v>
      </c>
      <c r="AG5" s="1">
        <v>14.1</v>
      </c>
      <c r="AH5" s="1">
        <v>14.9</v>
      </c>
      <c r="AI5" s="1">
        <v>14.6</v>
      </c>
      <c r="AJ5" s="1">
        <v>14.4</v>
      </c>
      <c r="AK5" s="1">
        <v>14.7</v>
      </c>
      <c r="AL5" s="1">
        <v>14.4</v>
      </c>
      <c r="AM5" s="1">
        <v>13.9</v>
      </c>
      <c r="AN5" s="1">
        <v>14.1</v>
      </c>
      <c r="AO5" s="1">
        <v>14.2</v>
      </c>
      <c r="AP5" s="1">
        <v>14.4</v>
      </c>
      <c r="AQ5" s="1">
        <v>14.3</v>
      </c>
      <c r="AR5" s="1">
        <v>13.4</v>
      </c>
      <c r="AS5" s="1">
        <v>13.2</v>
      </c>
      <c r="AT5" s="1">
        <v>12.8</v>
      </c>
      <c r="AU5" s="1">
        <v>12.6</v>
      </c>
      <c r="AV5" s="1">
        <v>12.6</v>
      </c>
    </row>
    <row r="6" spans="1:48" x14ac:dyDescent="0.2">
      <c r="A6" s="1" t="s">
        <v>36</v>
      </c>
      <c r="B6" s="1">
        <v>6.9489999999999998</v>
      </c>
      <c r="C6" s="1">
        <v>6.7789999999999999</v>
      </c>
      <c r="D6" s="1">
        <v>6.6260000000000003</v>
      </c>
      <c r="E6" s="1">
        <v>6.4909999999999997</v>
      </c>
      <c r="F6" s="1">
        <v>6.3739999999999997</v>
      </c>
      <c r="G6" s="1">
        <v>6.2809999999999997</v>
      </c>
      <c r="H6" s="1">
        <v>6.2190000000000003</v>
      </c>
      <c r="I6" s="1">
        <v>6.1890000000000001</v>
      </c>
      <c r="J6" s="1">
        <v>6.1929999999999996</v>
      </c>
      <c r="K6" s="1">
        <v>6.2249999999999996</v>
      </c>
      <c r="L6" s="1">
        <v>6.2759999999999998</v>
      </c>
      <c r="M6" s="1">
        <v>6.3310000000000004</v>
      </c>
      <c r="N6" s="1">
        <v>6.3819999999999997</v>
      </c>
      <c r="O6" s="1">
        <v>6.4260000000000002</v>
      </c>
      <c r="P6" s="1">
        <v>6.468</v>
      </c>
      <c r="Q6" s="1">
        <v>6.5309999999999997</v>
      </c>
      <c r="R6" s="1">
        <v>6.6429999999999998</v>
      </c>
      <c r="S6" s="1">
        <v>6.8230000000000004</v>
      </c>
      <c r="T6" s="1">
        <v>7.0720000000000001</v>
      </c>
      <c r="U6" s="1">
        <v>7.3780000000000001</v>
      </c>
      <c r="V6" s="1">
        <v>7.7089999999999996</v>
      </c>
      <c r="W6" s="1">
        <v>8.0220000000000002</v>
      </c>
      <c r="X6" s="1">
        <v>8.2769999999999992</v>
      </c>
      <c r="Y6" s="1">
        <v>8.4489999999999998</v>
      </c>
      <c r="Z6" s="1">
        <v>8.5329999999999995</v>
      </c>
      <c r="AA6" s="1">
        <v>8.5329999999999995</v>
      </c>
      <c r="AB6" s="1">
        <v>8.4719999999999995</v>
      </c>
      <c r="AC6" s="1">
        <v>8.3879999999999999</v>
      </c>
      <c r="AD6" s="1">
        <v>8.3140000000000001</v>
      </c>
      <c r="AE6" s="1">
        <v>8.27</v>
      </c>
      <c r="AF6" s="1">
        <v>8.2680000000000007</v>
      </c>
      <c r="AG6" s="1">
        <v>8.3149999999999995</v>
      </c>
      <c r="AH6" s="1">
        <v>8.4030000000000005</v>
      </c>
      <c r="AI6" s="1">
        <v>8.5229999999999997</v>
      </c>
      <c r="AJ6" s="1">
        <v>8.6720000000000006</v>
      </c>
      <c r="AK6" s="1">
        <v>8.8490000000000002</v>
      </c>
      <c r="AL6" s="1">
        <v>9.048</v>
      </c>
      <c r="AM6" s="1">
        <v>9.2609999999999992</v>
      </c>
      <c r="AN6" s="1">
        <v>9.4819999999999993</v>
      </c>
      <c r="AO6" s="1">
        <v>9.7040000000000006</v>
      </c>
      <c r="AP6" s="1">
        <v>9.9220000000000006</v>
      </c>
      <c r="AQ6" s="1">
        <v>10.132999999999999</v>
      </c>
      <c r="AR6" s="1">
        <v>10.337</v>
      </c>
      <c r="AS6" s="1">
        <v>10.532999999999999</v>
      </c>
      <c r="AT6" s="1">
        <v>10.717000000000001</v>
      </c>
      <c r="AU6" s="1">
        <v>10.885999999999999</v>
      </c>
      <c r="AV6" s="1">
        <v>11.037000000000001</v>
      </c>
    </row>
    <row r="7" spans="1:48" x14ac:dyDescent="0.2">
      <c r="A7" s="1" t="s">
        <v>22</v>
      </c>
      <c r="B7" s="1">
        <v>9.1</v>
      </c>
      <c r="C7" s="1">
        <v>9.6999999999999993</v>
      </c>
      <c r="D7" s="1">
        <v>9.8000000000000007</v>
      </c>
      <c r="E7" s="1">
        <v>9.5</v>
      </c>
      <c r="F7" s="1">
        <v>9.8000000000000007</v>
      </c>
      <c r="G7" s="1">
        <v>10.3</v>
      </c>
      <c r="H7" s="1">
        <v>10.1</v>
      </c>
      <c r="I7" s="1">
        <v>10.7</v>
      </c>
      <c r="J7" s="1">
        <v>10.5</v>
      </c>
      <c r="K7" s="1">
        <v>10.7</v>
      </c>
      <c r="L7" s="1">
        <v>11.1</v>
      </c>
      <c r="M7" s="1">
        <v>10.7</v>
      </c>
      <c r="N7" s="1">
        <v>11.2</v>
      </c>
      <c r="O7" s="1">
        <v>11.4</v>
      </c>
      <c r="P7" s="1">
        <v>11.3</v>
      </c>
      <c r="Q7" s="1">
        <v>12</v>
      </c>
      <c r="R7" s="1">
        <v>11.6</v>
      </c>
      <c r="S7" s="1">
        <v>12</v>
      </c>
      <c r="T7" s="1">
        <v>12</v>
      </c>
      <c r="U7" s="1">
        <v>12</v>
      </c>
      <c r="V7" s="1">
        <v>12.5</v>
      </c>
      <c r="W7" s="1">
        <v>12.8</v>
      </c>
      <c r="X7" s="1">
        <v>12.6</v>
      </c>
      <c r="Y7" s="1">
        <v>12.9</v>
      </c>
      <c r="Z7" s="1">
        <v>13.2</v>
      </c>
      <c r="AA7" s="1">
        <v>13.6</v>
      </c>
      <c r="AB7" s="1">
        <v>14</v>
      </c>
      <c r="AC7" s="1">
        <v>14.7</v>
      </c>
      <c r="AD7" s="1">
        <v>14.3</v>
      </c>
      <c r="AE7" s="1">
        <v>13.6</v>
      </c>
      <c r="AF7" s="1">
        <v>14.1</v>
      </c>
      <c r="AG7" s="1">
        <v>14</v>
      </c>
      <c r="AH7" s="1">
        <v>14.4</v>
      </c>
      <c r="AI7" s="1">
        <v>14.4</v>
      </c>
      <c r="AJ7" s="1">
        <v>14.3</v>
      </c>
      <c r="AK7" s="1">
        <v>14.8</v>
      </c>
      <c r="AL7" s="1">
        <v>14.9</v>
      </c>
      <c r="AM7" s="1">
        <v>15</v>
      </c>
      <c r="AN7" s="1">
        <v>14.8</v>
      </c>
      <c r="AO7" s="1">
        <v>14.5</v>
      </c>
      <c r="AP7" s="1">
        <v>14.9</v>
      </c>
      <c r="AQ7" s="1">
        <v>14.7</v>
      </c>
      <c r="AR7" s="1">
        <v>15</v>
      </c>
      <c r="AS7" s="1">
        <v>14.4</v>
      </c>
      <c r="AT7" s="1">
        <v>15.1</v>
      </c>
      <c r="AU7" s="1">
        <v>15.3</v>
      </c>
      <c r="AV7" s="1">
        <v>15.1</v>
      </c>
    </row>
    <row r="8" spans="1:48" x14ac:dyDescent="0.2">
      <c r="A8" s="1" t="s">
        <v>12</v>
      </c>
      <c r="B8" s="1">
        <v>10</v>
      </c>
      <c r="C8" s="1">
        <v>10.1</v>
      </c>
      <c r="D8" s="1">
        <v>10.8</v>
      </c>
      <c r="E8" s="1">
        <v>10.199999999999999</v>
      </c>
      <c r="F8" s="1">
        <v>10</v>
      </c>
      <c r="G8" s="1">
        <v>10.1</v>
      </c>
      <c r="H8" s="1">
        <v>9.9</v>
      </c>
      <c r="I8" s="1">
        <v>9.9</v>
      </c>
      <c r="J8" s="1">
        <v>10.6</v>
      </c>
      <c r="K8" s="1">
        <v>10.5</v>
      </c>
      <c r="L8" s="1">
        <v>10.9</v>
      </c>
      <c r="M8" s="1">
        <v>11.2</v>
      </c>
      <c r="N8" s="1">
        <v>11</v>
      </c>
      <c r="O8" s="1">
        <v>11.8</v>
      </c>
      <c r="P8" s="1">
        <v>11.6</v>
      </c>
      <c r="Q8" s="1">
        <v>11.1</v>
      </c>
      <c r="R8" s="1">
        <v>11</v>
      </c>
      <c r="S8" s="1">
        <v>11.2</v>
      </c>
      <c r="T8" s="1">
        <v>11.1</v>
      </c>
      <c r="U8" s="1">
        <v>11</v>
      </c>
      <c r="V8" s="1">
        <v>10.9</v>
      </c>
      <c r="W8" s="1">
        <v>11.7</v>
      </c>
      <c r="X8" s="1">
        <v>11.3</v>
      </c>
      <c r="Y8" s="1">
        <v>11.1</v>
      </c>
      <c r="Z8" s="1">
        <v>10.6</v>
      </c>
      <c r="AA8" s="1">
        <v>10.9</v>
      </c>
      <c r="AB8" s="1">
        <v>11.1</v>
      </c>
      <c r="AC8" s="1">
        <v>11.5</v>
      </c>
      <c r="AD8" s="1">
        <v>11.5</v>
      </c>
      <c r="AE8" s="1">
        <v>11.5</v>
      </c>
      <c r="AF8" s="1">
        <v>11.2</v>
      </c>
      <c r="AG8" s="1">
        <v>11.2</v>
      </c>
      <c r="AH8" s="1">
        <v>11.4</v>
      </c>
      <c r="AI8" s="1">
        <v>11.8</v>
      </c>
      <c r="AJ8" s="1">
        <v>11.2</v>
      </c>
      <c r="AK8" s="1">
        <v>11.656000000000001</v>
      </c>
      <c r="AL8" s="1">
        <v>11.340999999999999</v>
      </c>
      <c r="AM8" s="1">
        <v>11.798</v>
      </c>
      <c r="AN8" s="1">
        <v>11.8</v>
      </c>
      <c r="AO8" s="1">
        <v>11.8</v>
      </c>
      <c r="AP8" s="1">
        <v>11.8</v>
      </c>
      <c r="AQ8" s="1">
        <v>11.9</v>
      </c>
      <c r="AR8" s="1">
        <v>12.1</v>
      </c>
      <c r="AS8" s="1">
        <v>11.8</v>
      </c>
      <c r="AT8" s="1">
        <v>12</v>
      </c>
      <c r="AU8" s="1">
        <v>12.9</v>
      </c>
      <c r="AV8" s="1">
        <v>12.3</v>
      </c>
    </row>
    <row r="9" spans="1:48" x14ac:dyDescent="0.2">
      <c r="A9" s="1" t="s">
        <v>37</v>
      </c>
      <c r="B9" s="1">
        <v>12.5</v>
      </c>
      <c r="C9" s="1">
        <v>12.5</v>
      </c>
      <c r="D9" s="1">
        <v>12.1</v>
      </c>
      <c r="E9" s="1">
        <v>12.5</v>
      </c>
      <c r="F9" s="1">
        <v>12.7</v>
      </c>
      <c r="G9" s="1">
        <v>12.4</v>
      </c>
      <c r="H9" s="1">
        <v>12.4</v>
      </c>
      <c r="I9" s="1">
        <v>12.4</v>
      </c>
      <c r="J9" s="1">
        <v>12.4</v>
      </c>
      <c r="K9" s="1">
        <v>12.4</v>
      </c>
      <c r="L9" s="1">
        <v>13.2</v>
      </c>
      <c r="M9" s="1">
        <v>12.7</v>
      </c>
      <c r="N9" s="1">
        <v>12.7</v>
      </c>
      <c r="O9" s="1">
        <v>13</v>
      </c>
      <c r="P9" s="1">
        <v>12.8</v>
      </c>
      <c r="Q9" s="1">
        <v>12.7</v>
      </c>
      <c r="R9" s="1">
        <v>12.8</v>
      </c>
      <c r="S9" s="1">
        <v>12.3</v>
      </c>
      <c r="T9" s="1">
        <v>12.1</v>
      </c>
      <c r="U9" s="1">
        <v>12.3</v>
      </c>
      <c r="V9" s="1">
        <v>12.5</v>
      </c>
      <c r="W9" s="1">
        <v>12.1</v>
      </c>
      <c r="X9" s="1">
        <v>11.7</v>
      </c>
      <c r="Y9" s="1">
        <v>11.4</v>
      </c>
      <c r="Z9" s="1">
        <v>11.4</v>
      </c>
      <c r="AA9" s="1">
        <v>11.4</v>
      </c>
      <c r="AB9" s="1">
        <v>10.9</v>
      </c>
      <c r="AC9" s="1">
        <v>10.9</v>
      </c>
      <c r="AD9" s="1">
        <v>10.6</v>
      </c>
      <c r="AE9" s="1">
        <v>10.7</v>
      </c>
      <c r="AF9" s="1">
        <v>10.6</v>
      </c>
      <c r="AG9" s="1">
        <v>10.5</v>
      </c>
      <c r="AH9" s="1">
        <v>10.6</v>
      </c>
      <c r="AI9" s="1">
        <v>10.9</v>
      </c>
      <c r="AJ9" s="1">
        <v>10.5</v>
      </c>
      <c r="AK9" s="1">
        <v>10.6</v>
      </c>
      <c r="AL9" s="1">
        <v>10.199999999999999</v>
      </c>
      <c r="AM9" s="1">
        <v>10.199999999999999</v>
      </c>
      <c r="AN9" s="1">
        <v>10.1</v>
      </c>
      <c r="AO9" s="1">
        <v>10.3</v>
      </c>
      <c r="AP9" s="1">
        <v>10.199999999999999</v>
      </c>
      <c r="AQ9" s="1">
        <v>10.199999999999999</v>
      </c>
      <c r="AR9" s="1">
        <v>10.3</v>
      </c>
      <c r="AS9" s="1">
        <v>10.4</v>
      </c>
      <c r="AT9" s="1">
        <v>10</v>
      </c>
      <c r="AU9" s="1">
        <v>10.5</v>
      </c>
      <c r="AV9" s="1">
        <v>10.199999999999999</v>
      </c>
    </row>
    <row r="10" spans="1:48" x14ac:dyDescent="0.2">
      <c r="A10" s="1" t="s">
        <v>13</v>
      </c>
      <c r="B10" s="1">
        <v>11.2</v>
      </c>
      <c r="C10" s="1">
        <v>10.9</v>
      </c>
      <c r="D10" s="1">
        <v>11.1</v>
      </c>
      <c r="E10" s="1">
        <v>11.1</v>
      </c>
      <c r="F10" s="1">
        <v>10.9</v>
      </c>
      <c r="G10" s="1">
        <v>11.6</v>
      </c>
      <c r="H10" s="1">
        <v>12.1</v>
      </c>
      <c r="I10" s="1">
        <v>11.8</v>
      </c>
      <c r="J10" s="1">
        <v>12.2</v>
      </c>
      <c r="K10" s="1">
        <v>12.3</v>
      </c>
      <c r="L10" s="1">
        <v>12.3</v>
      </c>
      <c r="M10" s="1">
        <v>12.3</v>
      </c>
      <c r="N10" s="1">
        <v>11.9</v>
      </c>
      <c r="O10" s="1">
        <v>12.1</v>
      </c>
      <c r="P10" s="1">
        <v>12.6</v>
      </c>
      <c r="Q10" s="1">
        <v>12.7</v>
      </c>
      <c r="R10" s="1">
        <v>11.7</v>
      </c>
      <c r="S10" s="1">
        <v>11.8</v>
      </c>
      <c r="T10" s="1">
        <v>11.9</v>
      </c>
      <c r="U10" s="1">
        <v>11.8</v>
      </c>
      <c r="V10" s="1">
        <v>12.4</v>
      </c>
      <c r="W10" s="1">
        <v>12.6</v>
      </c>
      <c r="X10" s="1">
        <v>13.1</v>
      </c>
      <c r="Y10" s="1">
        <v>14.2</v>
      </c>
      <c r="Z10" s="1">
        <v>15.2</v>
      </c>
      <c r="AA10" s="1">
        <v>14.5</v>
      </c>
      <c r="AB10" s="1">
        <v>13.4</v>
      </c>
      <c r="AC10" s="1">
        <v>13.3</v>
      </c>
      <c r="AD10" s="1">
        <v>14</v>
      </c>
      <c r="AE10" s="1">
        <v>13.4</v>
      </c>
      <c r="AF10" s="1">
        <v>13.2</v>
      </c>
      <c r="AG10" s="1">
        <v>13.3</v>
      </c>
      <c r="AH10" s="1">
        <v>13.3</v>
      </c>
      <c r="AI10" s="1">
        <v>13.2</v>
      </c>
      <c r="AJ10" s="1">
        <v>13</v>
      </c>
      <c r="AK10" s="1">
        <v>12.8</v>
      </c>
      <c r="AL10" s="1">
        <v>12.9</v>
      </c>
      <c r="AM10" s="1">
        <v>13</v>
      </c>
      <c r="AN10" s="1">
        <v>12.5</v>
      </c>
      <c r="AO10" s="1">
        <v>12.1</v>
      </c>
      <c r="AP10" s="1">
        <v>11.9</v>
      </c>
      <c r="AQ10" s="1">
        <v>11.5</v>
      </c>
      <c r="AR10" s="1">
        <v>11.7</v>
      </c>
      <c r="AS10" s="1">
        <v>11.6</v>
      </c>
      <c r="AT10" s="1">
        <v>11.8</v>
      </c>
      <c r="AU10" s="1">
        <v>11.6</v>
      </c>
      <c r="AV10" s="1">
        <v>11.7</v>
      </c>
    </row>
    <row r="11" spans="1:48" x14ac:dyDescent="0.2">
      <c r="A11" s="1" t="s">
        <v>26</v>
      </c>
      <c r="B11" s="1">
        <v>9.4489999999999998</v>
      </c>
      <c r="C11" s="1">
        <v>9.3040000000000003</v>
      </c>
      <c r="D11" s="1">
        <v>9.1760000000000002</v>
      </c>
      <c r="E11" s="1">
        <v>9.06</v>
      </c>
      <c r="F11" s="1">
        <v>8.9550000000000001</v>
      </c>
      <c r="G11" s="1">
        <v>8.8710000000000004</v>
      </c>
      <c r="H11" s="1">
        <v>8.8190000000000008</v>
      </c>
      <c r="I11" s="1">
        <v>8.8089999999999993</v>
      </c>
      <c r="J11" s="1">
        <v>8.8409999999999993</v>
      </c>
      <c r="K11" s="1">
        <v>8.91</v>
      </c>
      <c r="L11" s="1">
        <v>8.9990000000000006</v>
      </c>
      <c r="M11" s="1">
        <v>9.09</v>
      </c>
      <c r="N11" s="1">
        <v>9.1649999999999991</v>
      </c>
      <c r="O11" s="1">
        <v>9.2119999999999997</v>
      </c>
      <c r="P11" s="1">
        <v>9.2309999999999999</v>
      </c>
      <c r="Q11" s="1">
        <v>9.2289999999999992</v>
      </c>
      <c r="R11" s="1">
        <v>9.2219999999999995</v>
      </c>
      <c r="S11" s="1">
        <v>9.2279999999999998</v>
      </c>
      <c r="T11" s="1">
        <v>9.26</v>
      </c>
      <c r="U11" s="1">
        <v>9.3209999999999997</v>
      </c>
      <c r="V11" s="1">
        <v>9.407</v>
      </c>
      <c r="W11" s="1">
        <v>9.5090000000000003</v>
      </c>
      <c r="X11" s="1">
        <v>9.6150000000000002</v>
      </c>
      <c r="Y11" s="1">
        <v>9.7119999999999997</v>
      </c>
      <c r="Z11" s="1">
        <v>9.7940000000000005</v>
      </c>
      <c r="AA11" s="1">
        <v>9.8559999999999999</v>
      </c>
      <c r="AB11" s="1">
        <v>9.8889999999999993</v>
      </c>
      <c r="AC11" s="1">
        <v>9.9</v>
      </c>
      <c r="AD11" s="1">
        <v>9.8989999999999991</v>
      </c>
      <c r="AE11" s="1">
        <v>9.8960000000000008</v>
      </c>
      <c r="AF11" s="1">
        <v>9.91</v>
      </c>
      <c r="AG11" s="1">
        <v>9.9610000000000003</v>
      </c>
      <c r="AH11" s="1">
        <v>10.063000000000001</v>
      </c>
      <c r="AI11" s="1">
        <v>10.223000000000001</v>
      </c>
      <c r="AJ11" s="1">
        <v>10.442</v>
      </c>
      <c r="AK11" s="1">
        <v>10.718999999999999</v>
      </c>
      <c r="AL11" s="1">
        <v>11.048999999999999</v>
      </c>
      <c r="AM11" s="1">
        <v>11.412000000000001</v>
      </c>
      <c r="AN11" s="1">
        <v>11.782999999999999</v>
      </c>
      <c r="AO11" s="1">
        <v>12.146000000000001</v>
      </c>
      <c r="AP11" s="1">
        <v>12.476000000000001</v>
      </c>
      <c r="AQ11" s="1">
        <v>12.755000000000001</v>
      </c>
      <c r="AR11" s="1">
        <v>12.974</v>
      </c>
      <c r="AS11" s="1">
        <v>13.131</v>
      </c>
      <c r="AT11" s="1">
        <v>13.222</v>
      </c>
      <c r="AU11" s="1">
        <v>13.252000000000001</v>
      </c>
      <c r="AV11" s="1">
        <v>13.228</v>
      </c>
    </row>
    <row r="12" spans="1:48" x14ac:dyDescent="0.2">
      <c r="A12" s="1" t="s">
        <v>9</v>
      </c>
      <c r="B12" s="1">
        <v>11.6</v>
      </c>
      <c r="C12" s="1">
        <v>11.9</v>
      </c>
      <c r="D12" s="1">
        <v>11.4</v>
      </c>
      <c r="E12" s="1">
        <v>11.8</v>
      </c>
      <c r="F12" s="1">
        <v>12</v>
      </c>
      <c r="G12" s="1">
        <v>12.4</v>
      </c>
      <c r="H12" s="1">
        <v>12.5</v>
      </c>
      <c r="I12" s="1">
        <v>12.4</v>
      </c>
      <c r="J12" s="1">
        <v>13.1</v>
      </c>
      <c r="K12" s="1">
        <v>12.8</v>
      </c>
      <c r="L12" s="1">
        <v>13.6</v>
      </c>
      <c r="M12" s="1">
        <v>13.5</v>
      </c>
      <c r="N12" s="1">
        <v>13.5</v>
      </c>
      <c r="O12" s="1">
        <v>13.9</v>
      </c>
      <c r="P12" s="1">
        <v>13.8</v>
      </c>
      <c r="Q12" s="1">
        <v>13.9</v>
      </c>
      <c r="R12" s="1">
        <v>13.8</v>
      </c>
      <c r="S12" s="1">
        <v>13.4</v>
      </c>
      <c r="T12" s="1">
        <v>13.2</v>
      </c>
      <c r="U12" s="1">
        <v>13.8</v>
      </c>
      <c r="V12" s="1">
        <v>14</v>
      </c>
      <c r="W12" s="1">
        <v>14</v>
      </c>
      <c r="X12" s="1">
        <v>14.3</v>
      </c>
      <c r="Y12" s="1">
        <v>14.5</v>
      </c>
      <c r="Z12" s="1">
        <v>14.2</v>
      </c>
      <c r="AA12" s="1">
        <v>14.1</v>
      </c>
      <c r="AB12" s="1">
        <v>13.9</v>
      </c>
      <c r="AC12" s="1">
        <v>13.5</v>
      </c>
      <c r="AD12" s="1">
        <v>13.7</v>
      </c>
      <c r="AE12" s="1">
        <v>14</v>
      </c>
      <c r="AF12" s="1">
        <v>13.3</v>
      </c>
      <c r="AG12" s="1">
        <v>13</v>
      </c>
      <c r="AH12" s="1">
        <v>13.1</v>
      </c>
      <c r="AI12" s="1">
        <v>13.4</v>
      </c>
      <c r="AJ12" s="1">
        <v>13.1</v>
      </c>
      <c r="AK12" s="1">
        <v>13.5</v>
      </c>
      <c r="AL12" s="1">
        <v>13.1</v>
      </c>
      <c r="AM12" s="1">
        <v>13.2</v>
      </c>
      <c r="AN12" s="1">
        <v>13</v>
      </c>
      <c r="AO12" s="1">
        <v>13</v>
      </c>
      <c r="AP12" s="1">
        <v>13</v>
      </c>
      <c r="AQ12" s="1">
        <v>12.9</v>
      </c>
      <c r="AR12" s="1">
        <v>13</v>
      </c>
      <c r="AS12" s="1">
        <v>12.8</v>
      </c>
      <c r="AT12" s="1">
        <v>12.8</v>
      </c>
      <c r="AU12" s="1">
        <v>13.4</v>
      </c>
      <c r="AV12" s="1">
        <v>13</v>
      </c>
    </row>
    <row r="13" spans="1:48" x14ac:dyDescent="0.2">
      <c r="A13" s="1" t="s">
        <v>7</v>
      </c>
      <c r="B13" s="1">
        <v>9.3610000000000007</v>
      </c>
      <c r="C13" s="1">
        <v>9.24</v>
      </c>
      <c r="D13" s="1">
        <v>9.1519999999999992</v>
      </c>
      <c r="E13" s="1">
        <v>9.0869999999999997</v>
      </c>
      <c r="F13" s="1">
        <v>9.0359999999999996</v>
      </c>
      <c r="G13" s="1">
        <v>8.9939999999999998</v>
      </c>
      <c r="H13" s="1">
        <v>8.9559999999999995</v>
      </c>
      <c r="I13" s="1">
        <v>8.9190000000000005</v>
      </c>
      <c r="J13" s="1">
        <v>8.8800000000000008</v>
      </c>
      <c r="K13" s="1">
        <v>7.7</v>
      </c>
      <c r="L13" s="1">
        <v>8</v>
      </c>
      <c r="M13" s="1">
        <v>8</v>
      </c>
      <c r="N13" s="1">
        <v>7.9</v>
      </c>
      <c r="O13" s="1">
        <v>8</v>
      </c>
      <c r="P13" s="1">
        <v>8.3000000000000007</v>
      </c>
      <c r="Q13" s="1">
        <v>8</v>
      </c>
      <c r="R13" s="1">
        <v>7.4</v>
      </c>
      <c r="S13" s="1">
        <v>7.6</v>
      </c>
      <c r="T13" s="1">
        <v>7.7</v>
      </c>
      <c r="U13" s="1">
        <v>7.6</v>
      </c>
      <c r="V13" s="1">
        <v>7.9</v>
      </c>
      <c r="W13" s="1">
        <v>8.1999999999999993</v>
      </c>
      <c r="X13" s="1">
        <v>8.4</v>
      </c>
      <c r="Y13" s="1">
        <v>9.5</v>
      </c>
      <c r="Z13" s="1">
        <v>9.9</v>
      </c>
      <c r="AA13" s="1">
        <v>10.7</v>
      </c>
      <c r="AB13" s="1">
        <v>10.7</v>
      </c>
      <c r="AC13" s="1">
        <v>10.4</v>
      </c>
      <c r="AD13" s="1">
        <v>10.199999999999999</v>
      </c>
      <c r="AE13" s="1">
        <v>9.8699999999999992</v>
      </c>
      <c r="AF13" s="1">
        <v>10.06</v>
      </c>
      <c r="AG13" s="1">
        <v>9.9499999999999993</v>
      </c>
      <c r="AH13" s="1">
        <v>10.050000000000001</v>
      </c>
      <c r="AI13" s="1">
        <v>10.41</v>
      </c>
      <c r="AJ13" s="1">
        <v>10.14</v>
      </c>
      <c r="AK13" s="1">
        <v>10.37</v>
      </c>
      <c r="AL13" s="1">
        <v>10.27</v>
      </c>
      <c r="AM13" s="1">
        <v>10.220000000000001</v>
      </c>
      <c r="AN13" s="1">
        <v>9.74</v>
      </c>
      <c r="AO13" s="1">
        <v>8.9</v>
      </c>
      <c r="AP13" s="1">
        <v>8.9700000000000006</v>
      </c>
      <c r="AQ13" s="1">
        <v>8.75</v>
      </c>
      <c r="AR13" s="1">
        <v>8.51</v>
      </c>
      <c r="AS13" s="1">
        <v>7.98</v>
      </c>
      <c r="AT13" s="1">
        <v>7.57</v>
      </c>
      <c r="AU13" s="1">
        <v>7.48</v>
      </c>
      <c r="AV13" s="1">
        <v>7.37</v>
      </c>
    </row>
    <row r="14" spans="1:48" x14ac:dyDescent="0.2">
      <c r="A14" s="1" t="s">
        <v>10</v>
      </c>
      <c r="M14" s="1">
        <v>8.1999999999999993</v>
      </c>
      <c r="N14" s="1">
        <v>7.8</v>
      </c>
      <c r="O14" s="1">
        <v>7.6</v>
      </c>
      <c r="P14" s="1">
        <v>7.5</v>
      </c>
      <c r="Q14" s="1">
        <v>7.4</v>
      </c>
      <c r="R14" s="1">
        <v>7.2</v>
      </c>
      <c r="S14" s="1">
        <v>7.1</v>
      </c>
      <c r="T14" s="1">
        <v>7</v>
      </c>
      <c r="U14" s="1">
        <v>6.9</v>
      </c>
      <c r="V14" s="1">
        <v>6.7</v>
      </c>
      <c r="W14" s="1">
        <v>6.6</v>
      </c>
      <c r="X14" s="1">
        <v>6.4</v>
      </c>
      <c r="Y14" s="1">
        <v>6.2</v>
      </c>
      <c r="Z14" s="1">
        <v>6.2</v>
      </c>
      <c r="AA14" s="1">
        <v>6.1</v>
      </c>
      <c r="AB14" s="1">
        <v>6.1</v>
      </c>
      <c r="AC14" s="1">
        <v>6.1</v>
      </c>
      <c r="AD14" s="1">
        <v>6.1</v>
      </c>
      <c r="AE14" s="1">
        <v>7.2</v>
      </c>
      <c r="AF14" s="1">
        <v>7</v>
      </c>
      <c r="AG14" s="1">
        <v>7.1</v>
      </c>
      <c r="AH14" s="1">
        <v>7.1</v>
      </c>
      <c r="AI14" s="1">
        <v>7</v>
      </c>
      <c r="AJ14" s="1">
        <v>7</v>
      </c>
      <c r="AK14" s="1">
        <v>7</v>
      </c>
      <c r="AL14" s="1">
        <v>7</v>
      </c>
      <c r="AM14" s="1">
        <v>7</v>
      </c>
      <c r="AN14" s="1">
        <v>7</v>
      </c>
      <c r="AO14" s="1">
        <v>7</v>
      </c>
      <c r="AP14" s="1">
        <v>7.1</v>
      </c>
      <c r="AQ14" s="1">
        <v>7</v>
      </c>
      <c r="AR14" s="1">
        <v>7</v>
      </c>
      <c r="AS14" s="1">
        <v>7</v>
      </c>
      <c r="AT14" s="1">
        <v>7</v>
      </c>
      <c r="AU14" s="1">
        <v>7</v>
      </c>
      <c r="AV14" s="1">
        <v>7</v>
      </c>
    </row>
    <row r="15" spans="1:48" x14ac:dyDescent="0.2">
      <c r="A15" s="1" t="s">
        <v>14</v>
      </c>
      <c r="B15" s="1">
        <v>11.234999999999999</v>
      </c>
      <c r="C15" s="1">
        <v>11.021000000000001</v>
      </c>
      <c r="D15" s="1">
        <v>10.846</v>
      </c>
      <c r="E15" s="1">
        <v>10.696</v>
      </c>
      <c r="F15" s="1">
        <v>10.563000000000001</v>
      </c>
      <c r="G15" s="1">
        <v>10.441000000000001</v>
      </c>
      <c r="H15" s="1">
        <v>10.324999999999999</v>
      </c>
      <c r="I15" s="1">
        <v>10.214</v>
      </c>
      <c r="J15" s="1">
        <v>10.103999999999999</v>
      </c>
      <c r="K15" s="1">
        <v>9.9920000000000009</v>
      </c>
      <c r="L15" s="1">
        <v>9.8689999999999998</v>
      </c>
      <c r="M15" s="1">
        <v>9.7319999999999993</v>
      </c>
      <c r="N15" s="1">
        <v>9.5809999999999995</v>
      </c>
      <c r="O15" s="1">
        <v>9.4179999999999993</v>
      </c>
      <c r="P15" s="1">
        <v>9.2479999999999993</v>
      </c>
      <c r="Q15" s="1">
        <v>9.077</v>
      </c>
      <c r="R15" s="1">
        <v>8.9139999999999997</v>
      </c>
      <c r="S15" s="1">
        <v>8.766</v>
      </c>
      <c r="T15" s="1">
        <v>8.64</v>
      </c>
      <c r="U15" s="1">
        <v>7.2</v>
      </c>
      <c r="V15" s="1">
        <v>6.9</v>
      </c>
      <c r="W15" s="1">
        <v>6.9</v>
      </c>
      <c r="X15" s="1">
        <v>7.1</v>
      </c>
      <c r="Y15" s="1">
        <v>7.6</v>
      </c>
      <c r="Z15" s="1">
        <v>8.1999999999999993</v>
      </c>
      <c r="AA15" s="1">
        <v>8</v>
      </c>
      <c r="AB15" s="1">
        <v>7.4</v>
      </c>
      <c r="AC15" s="1">
        <v>7.3</v>
      </c>
      <c r="AD15" s="1">
        <v>7.2</v>
      </c>
      <c r="AE15" s="1">
        <v>6.8</v>
      </c>
      <c r="AF15" s="1">
        <v>7</v>
      </c>
      <c r="AG15" s="1">
        <v>6.6</v>
      </c>
      <c r="AH15" s="1">
        <v>7.1</v>
      </c>
      <c r="AI15" s="1">
        <v>7.1</v>
      </c>
      <c r="AJ15" s="1">
        <v>6.9</v>
      </c>
      <c r="AK15" s="1">
        <v>7.2</v>
      </c>
      <c r="AL15" s="1">
        <v>7.4</v>
      </c>
      <c r="AM15" s="1">
        <v>7.2</v>
      </c>
      <c r="AN15" s="1">
        <v>7.1</v>
      </c>
      <c r="AO15" s="1">
        <v>6.7</v>
      </c>
      <c r="AP15" s="1">
        <v>6.6</v>
      </c>
      <c r="AQ15" s="1">
        <v>6.5</v>
      </c>
      <c r="AR15" s="1">
        <v>6.5</v>
      </c>
      <c r="AS15" s="1">
        <v>6.1</v>
      </c>
      <c r="AT15" s="1">
        <v>6.1</v>
      </c>
      <c r="AU15" s="1">
        <v>5.8</v>
      </c>
      <c r="AV15" s="1">
        <v>5.5</v>
      </c>
    </row>
    <row r="16" spans="1:48" x14ac:dyDescent="0.2">
      <c r="A16" s="1" t="s">
        <v>20</v>
      </c>
      <c r="B16" s="1">
        <v>11.3</v>
      </c>
      <c r="C16" s="1">
        <v>11.1</v>
      </c>
      <c r="D16" s="1">
        <v>11.4</v>
      </c>
      <c r="E16" s="1">
        <v>11.6</v>
      </c>
      <c r="F16" s="1">
        <v>11.5</v>
      </c>
      <c r="G16" s="1">
        <v>12.2</v>
      </c>
      <c r="H16" s="1">
        <v>12.3</v>
      </c>
      <c r="I16" s="1">
        <v>12.4</v>
      </c>
      <c r="J16" s="1">
        <v>12.5</v>
      </c>
      <c r="K16" s="1">
        <v>12.8</v>
      </c>
      <c r="L16" s="1">
        <v>12.8</v>
      </c>
      <c r="M16" s="1">
        <v>12.7</v>
      </c>
      <c r="N16" s="1">
        <v>12.3</v>
      </c>
      <c r="O16" s="1">
        <v>12.7</v>
      </c>
      <c r="P16" s="1">
        <v>13</v>
      </c>
      <c r="Q16" s="1">
        <v>13.2</v>
      </c>
      <c r="R16" s="1">
        <v>12</v>
      </c>
      <c r="S16" s="1">
        <v>12.2</v>
      </c>
      <c r="T16" s="1">
        <v>12.2</v>
      </c>
      <c r="U16" s="1">
        <v>12.2</v>
      </c>
      <c r="V16" s="1">
        <v>13.1</v>
      </c>
      <c r="W16" s="1">
        <v>13.1</v>
      </c>
      <c r="X16" s="1">
        <v>13.5</v>
      </c>
      <c r="Y16" s="1">
        <v>15.3</v>
      </c>
      <c r="Z16" s="1">
        <v>16.600000000000001</v>
      </c>
      <c r="AA16" s="1">
        <v>15.7</v>
      </c>
      <c r="AB16" s="1">
        <v>14</v>
      </c>
      <c r="AC16" s="1">
        <v>13.8</v>
      </c>
      <c r="AD16" s="1">
        <v>14.2</v>
      </c>
      <c r="AE16" s="1">
        <v>13.7</v>
      </c>
      <c r="AF16" s="1">
        <v>13.6</v>
      </c>
      <c r="AG16" s="1">
        <v>14.1</v>
      </c>
      <c r="AH16" s="1">
        <v>14.1</v>
      </c>
      <c r="AI16" s="1">
        <v>14.2</v>
      </c>
      <c r="AJ16" s="1">
        <v>14.2</v>
      </c>
      <c r="AK16" s="1">
        <v>14.6</v>
      </c>
      <c r="AL16" s="1">
        <v>14.9</v>
      </c>
      <c r="AM16" s="1">
        <v>15</v>
      </c>
      <c r="AN16" s="1">
        <v>14.2</v>
      </c>
      <c r="AO16" s="1">
        <v>14</v>
      </c>
      <c r="AP16" s="1">
        <v>14.3</v>
      </c>
      <c r="AQ16" s="1">
        <v>13.9</v>
      </c>
      <c r="AR16" s="1">
        <v>14.3</v>
      </c>
      <c r="AS16" s="1">
        <v>14.3</v>
      </c>
      <c r="AT16" s="1">
        <v>14.3</v>
      </c>
      <c r="AU16" s="1">
        <v>14.4</v>
      </c>
      <c r="AV16" s="1">
        <v>14.6</v>
      </c>
    </row>
    <row r="17" spans="1:48" x14ac:dyDescent="0.2">
      <c r="A17" s="1" t="s">
        <v>21</v>
      </c>
      <c r="B17" s="1">
        <v>8.9</v>
      </c>
      <c r="C17" s="1">
        <v>8.5</v>
      </c>
      <c r="D17" s="1">
        <v>9.1</v>
      </c>
      <c r="E17" s="1">
        <v>9</v>
      </c>
      <c r="F17" s="1">
        <v>9</v>
      </c>
      <c r="G17" s="1">
        <v>9.5</v>
      </c>
      <c r="H17" s="1">
        <v>9.6</v>
      </c>
      <c r="I17" s="1">
        <v>9.8000000000000007</v>
      </c>
      <c r="J17" s="1">
        <v>10.1</v>
      </c>
      <c r="K17" s="1">
        <v>10.3</v>
      </c>
      <c r="L17" s="1">
        <v>10.5</v>
      </c>
      <c r="M17" s="1">
        <v>10.4</v>
      </c>
      <c r="N17" s="1">
        <v>10.1</v>
      </c>
      <c r="O17" s="1">
        <v>10.5</v>
      </c>
      <c r="P17" s="1">
        <v>11</v>
      </c>
      <c r="Q17" s="1">
        <v>11.1</v>
      </c>
      <c r="R17" s="1">
        <v>10</v>
      </c>
      <c r="S17" s="1">
        <v>10.199999999999999</v>
      </c>
      <c r="T17" s="1">
        <v>10.3</v>
      </c>
      <c r="U17" s="1">
        <v>10.4</v>
      </c>
      <c r="V17" s="1">
        <v>10.8</v>
      </c>
      <c r="W17" s="1">
        <v>11.1</v>
      </c>
      <c r="X17" s="1">
        <v>11.2</v>
      </c>
      <c r="Y17" s="1">
        <v>12.5</v>
      </c>
      <c r="Z17" s="1">
        <v>12.7</v>
      </c>
      <c r="AA17" s="1">
        <v>12.5</v>
      </c>
      <c r="AB17" s="1">
        <v>11.9</v>
      </c>
      <c r="AC17" s="1">
        <v>11.5</v>
      </c>
      <c r="AD17" s="1">
        <v>11.5</v>
      </c>
      <c r="AE17" s="1">
        <v>11.4</v>
      </c>
      <c r="AF17" s="1">
        <v>11.1</v>
      </c>
      <c r="AG17" s="1">
        <v>11.6</v>
      </c>
      <c r="AH17" s="1">
        <v>11.9</v>
      </c>
      <c r="AI17" s="1">
        <v>12</v>
      </c>
      <c r="AJ17" s="1">
        <v>12.2</v>
      </c>
      <c r="AK17" s="1">
        <v>13.2</v>
      </c>
      <c r="AL17" s="1">
        <v>13.7</v>
      </c>
      <c r="AM17" s="1">
        <v>14.1</v>
      </c>
      <c r="AN17" s="1">
        <v>13.7</v>
      </c>
      <c r="AO17" s="1">
        <v>13.3</v>
      </c>
      <c r="AP17" s="1">
        <v>13.6</v>
      </c>
      <c r="AQ17" s="1">
        <v>13.6</v>
      </c>
      <c r="AR17" s="1">
        <v>13.7</v>
      </c>
      <c r="AS17" s="1">
        <v>14</v>
      </c>
      <c r="AT17" s="1">
        <v>13.7</v>
      </c>
      <c r="AU17" s="1">
        <v>14.4</v>
      </c>
      <c r="AV17" s="1">
        <v>14.3</v>
      </c>
    </row>
    <row r="18" spans="1:48" x14ac:dyDescent="0.2">
      <c r="A18" s="1" t="s">
        <v>15</v>
      </c>
      <c r="B18" s="1">
        <v>7.4530000000000003</v>
      </c>
      <c r="C18" s="1">
        <v>7.2839999999999998</v>
      </c>
      <c r="D18" s="1">
        <v>7.1459999999999999</v>
      </c>
      <c r="E18" s="1">
        <v>7.0389999999999997</v>
      </c>
      <c r="F18" s="1">
        <v>6.9649999999999999</v>
      </c>
      <c r="G18" s="1">
        <v>6.9260000000000002</v>
      </c>
      <c r="H18" s="1">
        <v>6.9249999999999998</v>
      </c>
      <c r="I18" s="1">
        <v>6.9589999999999996</v>
      </c>
      <c r="J18" s="1">
        <v>7.0209999999999999</v>
      </c>
      <c r="K18" s="1">
        <v>7.1040000000000001</v>
      </c>
      <c r="L18" s="1">
        <v>7.1909999999999998</v>
      </c>
      <c r="M18" s="1">
        <v>7.2649999999999997</v>
      </c>
      <c r="N18" s="1">
        <v>7.319</v>
      </c>
      <c r="O18" s="1">
        <v>7.3460000000000001</v>
      </c>
      <c r="P18" s="1">
        <v>7.3490000000000002</v>
      </c>
      <c r="Q18" s="1">
        <v>7.3369999999999997</v>
      </c>
      <c r="R18" s="1">
        <v>7.327</v>
      </c>
      <c r="S18" s="1">
        <v>7.3360000000000003</v>
      </c>
      <c r="T18" s="1">
        <v>7.375</v>
      </c>
      <c r="U18" s="1">
        <v>7.4470000000000001</v>
      </c>
      <c r="V18" s="1">
        <v>7.5469999999999997</v>
      </c>
      <c r="W18" s="1">
        <v>7.665</v>
      </c>
      <c r="X18" s="1">
        <v>7.7859999999999996</v>
      </c>
      <c r="Y18" s="1">
        <v>7.8979999999999997</v>
      </c>
      <c r="Z18" s="1">
        <v>7.9950000000000001</v>
      </c>
      <c r="AA18" s="1">
        <v>8.0730000000000004</v>
      </c>
      <c r="AB18" s="1">
        <v>8.1319999999999997</v>
      </c>
      <c r="AC18" s="1">
        <v>8.1760000000000002</v>
      </c>
      <c r="AD18" s="1">
        <v>8.2149999999999999</v>
      </c>
      <c r="AE18" s="1">
        <v>8.2539999999999996</v>
      </c>
      <c r="AF18" s="1">
        <v>8.3019999999999996</v>
      </c>
      <c r="AG18" s="1">
        <v>8.3729999999999993</v>
      </c>
      <c r="AH18" s="1">
        <v>8.4700000000000006</v>
      </c>
      <c r="AI18" s="1">
        <v>8.5939999999999994</v>
      </c>
      <c r="AJ18" s="1">
        <v>8.7430000000000003</v>
      </c>
      <c r="AK18" s="1">
        <v>8.9049999999999994</v>
      </c>
      <c r="AL18" s="1">
        <v>9.0679999999999996</v>
      </c>
      <c r="AM18" s="1">
        <v>9.2189999999999994</v>
      </c>
      <c r="AN18" s="1">
        <v>9.3469999999999995</v>
      </c>
      <c r="AO18" s="1">
        <v>9.4469999999999992</v>
      </c>
      <c r="AP18" s="1">
        <v>9.5220000000000002</v>
      </c>
      <c r="AQ18" s="1">
        <v>9.5739999999999998</v>
      </c>
      <c r="AR18" s="1">
        <v>9.6150000000000002</v>
      </c>
      <c r="AS18" s="1">
        <v>9.6549999999999994</v>
      </c>
      <c r="AT18" s="1">
        <v>9.6969999999999992</v>
      </c>
      <c r="AU18" s="1">
        <v>9.7449999999999992</v>
      </c>
      <c r="AV18" s="1">
        <v>9.798</v>
      </c>
    </row>
    <row r="19" spans="1:48" x14ac:dyDescent="0.2">
      <c r="A19" s="1" t="s">
        <v>16</v>
      </c>
      <c r="B19" s="1">
        <v>9.5139999999999993</v>
      </c>
      <c r="C19" s="1">
        <v>9.5150000000000006</v>
      </c>
      <c r="D19" s="1">
        <v>9.5559999999999992</v>
      </c>
      <c r="E19" s="1">
        <v>9.6270000000000007</v>
      </c>
      <c r="F19" s="1">
        <v>9.7240000000000002</v>
      </c>
      <c r="G19" s="1">
        <v>9.8490000000000002</v>
      </c>
      <c r="H19" s="1">
        <v>10.01</v>
      </c>
      <c r="I19" s="1">
        <v>10.204000000000001</v>
      </c>
      <c r="J19" s="1">
        <v>10.423</v>
      </c>
      <c r="K19" s="1">
        <v>10.647</v>
      </c>
      <c r="L19" s="1">
        <v>10.847</v>
      </c>
      <c r="M19" s="1">
        <v>10.984</v>
      </c>
      <c r="N19" s="1">
        <v>11.039</v>
      </c>
      <c r="O19" s="1">
        <v>11.009</v>
      </c>
      <c r="P19" s="1">
        <v>10.9</v>
      </c>
      <c r="Q19" s="1">
        <v>10.738</v>
      </c>
      <c r="R19" s="1">
        <v>10.56</v>
      </c>
      <c r="S19" s="1">
        <v>10.407999999999999</v>
      </c>
      <c r="T19" s="1">
        <v>10.314</v>
      </c>
      <c r="U19" s="1">
        <v>10.294</v>
      </c>
      <c r="V19" s="1">
        <v>10.355</v>
      </c>
      <c r="W19" s="1">
        <v>10.491</v>
      </c>
      <c r="X19" s="1">
        <v>10.676</v>
      </c>
      <c r="Y19" s="1">
        <v>10.882</v>
      </c>
      <c r="Z19" s="1">
        <v>11.093999999999999</v>
      </c>
      <c r="AA19" s="1">
        <v>11.291</v>
      </c>
      <c r="AB19" s="1">
        <v>11.452999999999999</v>
      </c>
      <c r="AC19" s="1">
        <v>11.576000000000001</v>
      </c>
      <c r="AD19" s="1">
        <v>11.657</v>
      </c>
      <c r="AE19" s="1">
        <v>11.699</v>
      </c>
      <c r="AF19" s="1">
        <v>11.715999999999999</v>
      </c>
      <c r="AG19" s="1">
        <v>11.73</v>
      </c>
      <c r="AH19" s="1">
        <v>11.76</v>
      </c>
      <c r="AI19" s="1">
        <v>11.816000000000001</v>
      </c>
      <c r="AJ19" s="1">
        <v>11.895</v>
      </c>
      <c r="AK19" s="1">
        <v>11.98</v>
      </c>
      <c r="AL19" s="1">
        <v>12.042</v>
      </c>
      <c r="AM19" s="1">
        <v>12.058</v>
      </c>
      <c r="AN19" s="1">
        <v>12.016</v>
      </c>
      <c r="AO19" s="1">
        <v>11.919</v>
      </c>
      <c r="AP19" s="1">
        <v>11.786</v>
      </c>
      <c r="AQ19" s="1">
        <v>11.641</v>
      </c>
      <c r="AR19" s="1">
        <v>11.516999999999999</v>
      </c>
      <c r="AS19" s="1">
        <v>11.436</v>
      </c>
      <c r="AT19" s="1">
        <v>11.404999999999999</v>
      </c>
      <c r="AU19" s="1">
        <v>11.423999999999999</v>
      </c>
      <c r="AV19" s="1">
        <v>11.481</v>
      </c>
    </row>
    <row r="20" spans="1:48" x14ac:dyDescent="0.2">
      <c r="A20" s="1" t="s">
        <v>24</v>
      </c>
      <c r="B20" s="1">
        <v>7.3479999999999999</v>
      </c>
      <c r="C20" s="1">
        <v>7.2</v>
      </c>
      <c r="D20" s="1">
        <v>7.0720000000000001</v>
      </c>
      <c r="E20" s="1">
        <v>6.9690000000000003</v>
      </c>
      <c r="F20" s="1">
        <v>6.89</v>
      </c>
      <c r="G20" s="1">
        <v>6.8330000000000002</v>
      </c>
      <c r="H20" s="1">
        <v>6.7930000000000001</v>
      </c>
      <c r="I20" s="1">
        <v>6.7670000000000003</v>
      </c>
      <c r="J20" s="1">
        <v>6.7510000000000003</v>
      </c>
      <c r="K20" s="1">
        <v>6.742</v>
      </c>
      <c r="L20" s="1">
        <v>6.7409999999999997</v>
      </c>
      <c r="M20" s="1">
        <v>6.7510000000000003</v>
      </c>
      <c r="N20" s="1">
        <v>6.7729999999999997</v>
      </c>
      <c r="O20" s="1">
        <v>6.81</v>
      </c>
      <c r="P20" s="1">
        <v>6.8579999999999997</v>
      </c>
      <c r="Q20" s="1">
        <v>6.9119999999999999</v>
      </c>
      <c r="R20" s="1">
        <v>6.9619999999999997</v>
      </c>
      <c r="S20" s="1">
        <v>7.0060000000000002</v>
      </c>
      <c r="T20" s="1">
        <v>7.0460000000000003</v>
      </c>
      <c r="U20" s="1">
        <v>7.0910000000000002</v>
      </c>
      <c r="V20" s="1">
        <v>7.1589999999999998</v>
      </c>
      <c r="W20" s="1">
        <v>7.2770000000000001</v>
      </c>
      <c r="X20" s="1">
        <v>7.4580000000000002</v>
      </c>
      <c r="Y20" s="1">
        <v>7.7060000000000004</v>
      </c>
      <c r="Z20" s="1">
        <v>8.0129999999999999</v>
      </c>
      <c r="AA20" s="1">
        <v>8.3580000000000005</v>
      </c>
      <c r="AB20" s="1">
        <v>8.7129999999999992</v>
      </c>
      <c r="AC20" s="1">
        <v>9.048</v>
      </c>
      <c r="AD20" s="1">
        <v>9.3369999999999997</v>
      </c>
      <c r="AE20" s="1">
        <v>9.57</v>
      </c>
      <c r="AF20" s="1">
        <v>9.7469999999999999</v>
      </c>
      <c r="AG20" s="1">
        <v>9.8800000000000008</v>
      </c>
      <c r="AH20" s="1">
        <v>9.9890000000000008</v>
      </c>
      <c r="AI20" s="1">
        <v>10.087999999999999</v>
      </c>
      <c r="AJ20" s="1">
        <v>10.179</v>
      </c>
      <c r="AK20" s="1">
        <v>10.252000000000001</v>
      </c>
      <c r="AL20" s="1">
        <v>10.292</v>
      </c>
      <c r="AM20" s="1">
        <v>10.288</v>
      </c>
      <c r="AN20" s="1">
        <v>10.238</v>
      </c>
      <c r="AO20" s="1">
        <v>10.15</v>
      </c>
      <c r="AP20" s="1">
        <v>10.039999999999999</v>
      </c>
      <c r="AQ20" s="1">
        <v>9.93</v>
      </c>
      <c r="AR20" s="1">
        <v>9.84</v>
      </c>
      <c r="AS20" s="1">
        <v>9.7870000000000008</v>
      </c>
      <c r="AT20" s="1">
        <v>9.7750000000000004</v>
      </c>
      <c r="AU20" s="1">
        <v>9.8030000000000008</v>
      </c>
      <c r="AV20" s="1">
        <v>9.8629999999999995</v>
      </c>
    </row>
    <row r="21" spans="1:48" x14ac:dyDescent="0.2">
      <c r="A21" s="1" t="s">
        <v>11</v>
      </c>
      <c r="B21" s="1">
        <v>8.1999999999999993</v>
      </c>
      <c r="C21" s="1">
        <v>8.6999999999999993</v>
      </c>
      <c r="D21" s="1">
        <v>8</v>
      </c>
      <c r="E21" s="1">
        <v>8.4</v>
      </c>
      <c r="F21" s="1">
        <v>8.1999999999999993</v>
      </c>
      <c r="G21" s="1">
        <v>8.6999999999999993</v>
      </c>
      <c r="H21" s="1">
        <v>8.9</v>
      </c>
      <c r="I21" s="1">
        <v>9</v>
      </c>
      <c r="J21" s="1">
        <v>9.4</v>
      </c>
      <c r="K21" s="1">
        <v>9.1999999999999993</v>
      </c>
      <c r="L21" s="1">
        <v>9.8000000000000007</v>
      </c>
      <c r="M21" s="1">
        <v>9.1999999999999993</v>
      </c>
      <c r="N21" s="1">
        <v>9.3000000000000007</v>
      </c>
      <c r="O21" s="1">
        <v>9.6</v>
      </c>
      <c r="P21" s="1">
        <v>10</v>
      </c>
      <c r="Q21" s="1">
        <v>10.3</v>
      </c>
      <c r="R21" s="1">
        <v>10.1</v>
      </c>
      <c r="S21" s="1">
        <v>10.1</v>
      </c>
      <c r="T21" s="1">
        <v>9.9</v>
      </c>
      <c r="U21" s="1">
        <v>10.1</v>
      </c>
      <c r="V21" s="1">
        <v>10.199999999999999</v>
      </c>
      <c r="W21" s="1">
        <v>10.6</v>
      </c>
      <c r="X21" s="1">
        <v>10.3</v>
      </c>
      <c r="Y21" s="1">
        <v>10.199999999999999</v>
      </c>
      <c r="Z21" s="1">
        <v>10</v>
      </c>
      <c r="AA21" s="1">
        <v>10</v>
      </c>
      <c r="AB21" s="1">
        <v>10</v>
      </c>
      <c r="AC21" s="1">
        <v>9.8000000000000007</v>
      </c>
      <c r="AD21" s="1">
        <v>9.6999999999999993</v>
      </c>
      <c r="AE21" s="1">
        <v>9.9</v>
      </c>
      <c r="AF21" s="1">
        <v>9.6</v>
      </c>
      <c r="AG21" s="1">
        <v>9.5</v>
      </c>
      <c r="AH21" s="1">
        <v>9.4</v>
      </c>
      <c r="AI21" s="1">
        <v>9.6</v>
      </c>
      <c r="AJ21" s="1">
        <v>9.5</v>
      </c>
      <c r="AK21" s="1">
        <v>9.6</v>
      </c>
      <c r="AL21" s="1">
        <v>9.6999999999999993</v>
      </c>
      <c r="AM21" s="1">
        <v>9.9</v>
      </c>
      <c r="AN21" s="1">
        <v>10</v>
      </c>
      <c r="AO21" s="1">
        <v>10.1</v>
      </c>
      <c r="AP21" s="1">
        <v>9.9</v>
      </c>
      <c r="AQ21" s="1">
        <v>9.9</v>
      </c>
      <c r="AR21" s="1">
        <v>10.1</v>
      </c>
      <c r="AS21" s="1">
        <v>10.199999999999999</v>
      </c>
      <c r="AT21" s="1">
        <v>9.9</v>
      </c>
      <c r="AU21" s="1">
        <v>10.4</v>
      </c>
      <c r="AV21" s="1">
        <v>10.199999999999999</v>
      </c>
    </row>
    <row r="22" spans="1:48" x14ac:dyDescent="0.2">
      <c r="A22" s="1" t="s">
        <v>17</v>
      </c>
      <c r="B22" s="1">
        <v>9.5</v>
      </c>
      <c r="C22" s="1">
        <v>9.5</v>
      </c>
      <c r="D22" s="1">
        <v>9.1999999999999993</v>
      </c>
      <c r="E22" s="1">
        <v>9.8000000000000007</v>
      </c>
      <c r="F22" s="1">
        <v>9.1</v>
      </c>
      <c r="G22" s="1">
        <v>9.3000000000000007</v>
      </c>
      <c r="H22" s="1">
        <v>9.5</v>
      </c>
      <c r="I22" s="1">
        <v>9.6</v>
      </c>
      <c r="J22" s="1">
        <v>9.6999999999999993</v>
      </c>
      <c r="K22" s="1">
        <v>9.8000000000000007</v>
      </c>
      <c r="L22" s="1">
        <v>10.4</v>
      </c>
      <c r="M22" s="1">
        <v>10</v>
      </c>
      <c r="N22" s="1">
        <v>10</v>
      </c>
      <c r="O22" s="1">
        <v>10.4</v>
      </c>
      <c r="P22" s="1">
        <v>10.3</v>
      </c>
      <c r="Q22" s="1">
        <v>10.8</v>
      </c>
      <c r="R22" s="1">
        <v>10.6</v>
      </c>
      <c r="S22" s="1">
        <v>11.1</v>
      </c>
      <c r="T22" s="1">
        <v>11</v>
      </c>
      <c r="U22" s="1">
        <v>10.7</v>
      </c>
      <c r="V22" s="1">
        <v>10.6</v>
      </c>
      <c r="W22" s="1">
        <v>10.9</v>
      </c>
      <c r="X22" s="1">
        <v>11.6</v>
      </c>
      <c r="Y22" s="1">
        <v>11.6</v>
      </c>
      <c r="Z22" s="1">
        <v>11.7</v>
      </c>
      <c r="AA22" s="1">
        <v>12</v>
      </c>
      <c r="AB22" s="1">
        <v>12.7</v>
      </c>
      <c r="AC22" s="1">
        <v>12.4</v>
      </c>
      <c r="AD22" s="1">
        <v>12</v>
      </c>
      <c r="AE22" s="1">
        <v>11.8</v>
      </c>
      <c r="AF22" s="1">
        <v>11.4</v>
      </c>
      <c r="AG22" s="1">
        <v>11.7</v>
      </c>
      <c r="AH22" s="1">
        <v>12.4</v>
      </c>
      <c r="AI22" s="1">
        <v>12.4</v>
      </c>
      <c r="AJ22" s="1">
        <v>12.1</v>
      </c>
      <c r="AK22" s="1">
        <v>12.3</v>
      </c>
      <c r="AL22" s="1">
        <v>12.2</v>
      </c>
      <c r="AM22" s="1">
        <v>12.1</v>
      </c>
      <c r="AN22" s="1">
        <v>12.3</v>
      </c>
      <c r="AO22" s="1">
        <v>12.6</v>
      </c>
      <c r="AP22" s="1">
        <v>12.8</v>
      </c>
      <c r="AQ22" s="1">
        <v>12.5</v>
      </c>
      <c r="AR22" s="1">
        <v>12.7</v>
      </c>
      <c r="AS22" s="1">
        <v>12.4</v>
      </c>
      <c r="AT22" s="1">
        <v>12.8</v>
      </c>
      <c r="AU22" s="1">
        <v>13.2</v>
      </c>
      <c r="AV22" s="1">
        <v>13</v>
      </c>
    </row>
    <row r="23" spans="1:48" x14ac:dyDescent="0.2">
      <c r="A23" s="1" t="s">
        <v>38</v>
      </c>
      <c r="B23" s="1">
        <v>8.8510000000000009</v>
      </c>
      <c r="C23" s="1">
        <v>9.0510000000000002</v>
      </c>
      <c r="D23" s="1">
        <v>9.26</v>
      </c>
      <c r="E23" s="1">
        <v>9.4740000000000002</v>
      </c>
      <c r="F23" s="1">
        <v>9.69</v>
      </c>
      <c r="G23" s="1">
        <v>9.907</v>
      </c>
      <c r="H23" s="1">
        <v>10.125999999999999</v>
      </c>
      <c r="I23" s="1">
        <v>10.348000000000001</v>
      </c>
      <c r="J23" s="1">
        <v>10.568</v>
      </c>
      <c r="K23" s="1">
        <v>10.8</v>
      </c>
      <c r="L23" s="1">
        <v>11</v>
      </c>
      <c r="M23" s="1">
        <v>10.9</v>
      </c>
      <c r="N23" s="1">
        <v>10.7</v>
      </c>
      <c r="O23" s="1">
        <v>11.1</v>
      </c>
      <c r="P23" s="1">
        <v>11.6</v>
      </c>
      <c r="Q23" s="1">
        <v>11.3</v>
      </c>
      <c r="R23" s="1">
        <v>10.4</v>
      </c>
      <c r="S23" s="1">
        <v>10.5</v>
      </c>
      <c r="T23" s="1">
        <v>10.7</v>
      </c>
      <c r="U23" s="1">
        <v>10.7</v>
      </c>
      <c r="V23" s="1">
        <v>11.2</v>
      </c>
      <c r="W23" s="1">
        <v>11.4</v>
      </c>
      <c r="X23" s="1">
        <v>12.2</v>
      </c>
      <c r="Y23" s="1">
        <v>14.5</v>
      </c>
      <c r="Z23" s="1">
        <v>15.7</v>
      </c>
      <c r="AA23" s="1">
        <v>15</v>
      </c>
      <c r="AB23" s="1">
        <v>14.2</v>
      </c>
      <c r="AC23" s="1">
        <v>13.8</v>
      </c>
      <c r="AD23" s="1">
        <v>13.5</v>
      </c>
      <c r="AE23" s="1">
        <v>14.6</v>
      </c>
      <c r="AF23" s="1">
        <v>15.3</v>
      </c>
      <c r="AG23" s="1">
        <v>15.6</v>
      </c>
      <c r="AH23" s="1">
        <v>15.4</v>
      </c>
      <c r="AI23" s="1">
        <v>16.399999999999999</v>
      </c>
      <c r="AJ23" s="1">
        <v>16</v>
      </c>
      <c r="AK23" s="1">
        <v>16.100000000000001</v>
      </c>
      <c r="AL23" s="1">
        <v>15.2</v>
      </c>
      <c r="AM23" s="1">
        <v>14.6</v>
      </c>
      <c r="AN23" s="1">
        <v>14.5</v>
      </c>
      <c r="AO23" s="1">
        <v>14.1</v>
      </c>
      <c r="AP23" s="1">
        <v>14.2</v>
      </c>
      <c r="AQ23" s="1">
        <v>13.5</v>
      </c>
      <c r="AR23" s="1">
        <v>13.3</v>
      </c>
      <c r="AS23" s="1">
        <v>13</v>
      </c>
      <c r="AT23" s="1">
        <v>13.1</v>
      </c>
      <c r="AU23" s="1">
        <v>13</v>
      </c>
      <c r="AV23" s="1">
        <v>12.9</v>
      </c>
    </row>
    <row r="24" spans="1:48" x14ac:dyDescent="0.2">
      <c r="A24" s="1" t="s">
        <v>19</v>
      </c>
      <c r="W24" s="1">
        <v>11.7</v>
      </c>
      <c r="AA24" s="1">
        <v>12.3</v>
      </c>
      <c r="AB24" s="1">
        <v>12.9</v>
      </c>
      <c r="AC24" s="1">
        <v>12.91</v>
      </c>
      <c r="AD24" s="1">
        <v>13.13</v>
      </c>
      <c r="AE24" s="1">
        <v>13.5</v>
      </c>
      <c r="AF24" s="1">
        <v>13.8</v>
      </c>
      <c r="AG24" s="1">
        <v>13.2</v>
      </c>
      <c r="AH24" s="1">
        <v>13.7</v>
      </c>
      <c r="AI24" s="1">
        <v>13.9</v>
      </c>
      <c r="AJ24" s="1">
        <v>14</v>
      </c>
      <c r="AK24" s="1">
        <v>14.3</v>
      </c>
      <c r="AL24" s="1">
        <v>13.88</v>
      </c>
      <c r="AM24" s="1">
        <v>13.92</v>
      </c>
      <c r="AN24" s="1">
        <v>13.97</v>
      </c>
      <c r="AO24" s="1">
        <v>14.2</v>
      </c>
      <c r="AP24" s="1">
        <v>14.2</v>
      </c>
      <c r="AQ24" s="1">
        <v>14.2</v>
      </c>
      <c r="AR24" s="1">
        <v>14.2</v>
      </c>
      <c r="AS24" s="1">
        <v>14</v>
      </c>
      <c r="AT24" s="1">
        <v>14.2</v>
      </c>
      <c r="AU24" s="1">
        <v>14.6</v>
      </c>
      <c r="AV24" s="1">
        <v>14.3</v>
      </c>
    </row>
    <row r="25" spans="1:48" x14ac:dyDescent="0.2">
      <c r="A25" s="1" t="s">
        <v>4</v>
      </c>
      <c r="B25" s="1">
        <v>9.3000000000000007</v>
      </c>
      <c r="C25" s="1">
        <v>9.4</v>
      </c>
      <c r="D25" s="1">
        <v>9</v>
      </c>
      <c r="E25" s="1">
        <v>9.4</v>
      </c>
      <c r="F25" s="1">
        <v>9.6</v>
      </c>
      <c r="G25" s="1">
        <v>9.5</v>
      </c>
      <c r="H25" s="1">
        <v>9.5</v>
      </c>
      <c r="I25" s="1">
        <v>9.6999999999999993</v>
      </c>
      <c r="J25" s="1">
        <v>9.8000000000000007</v>
      </c>
      <c r="K25" s="1">
        <v>9.6999999999999993</v>
      </c>
      <c r="L25" s="1">
        <v>10.199999999999999</v>
      </c>
      <c r="M25" s="1">
        <v>9.9</v>
      </c>
      <c r="N25" s="1">
        <v>10</v>
      </c>
      <c r="O25" s="1">
        <v>10.3</v>
      </c>
      <c r="P25" s="1">
        <v>10.1</v>
      </c>
      <c r="Q25" s="1">
        <v>10.199999999999999</v>
      </c>
      <c r="R25" s="1">
        <v>10.199999999999999</v>
      </c>
      <c r="S25" s="1">
        <v>10</v>
      </c>
      <c r="T25" s="1">
        <v>10</v>
      </c>
      <c r="U25" s="1">
        <v>10.199999999999999</v>
      </c>
      <c r="V25" s="1">
        <v>10.3</v>
      </c>
      <c r="W25" s="1">
        <v>10.3</v>
      </c>
      <c r="X25" s="1">
        <v>10.1</v>
      </c>
      <c r="Y25" s="1">
        <v>9.9</v>
      </c>
      <c r="Z25" s="1">
        <v>9.6</v>
      </c>
      <c r="AA25" s="1">
        <v>9.8000000000000007</v>
      </c>
      <c r="AB25" s="1">
        <v>9.5</v>
      </c>
      <c r="AC25" s="1">
        <v>9.6999999999999993</v>
      </c>
      <c r="AD25" s="1">
        <v>9.9</v>
      </c>
      <c r="AE25" s="1">
        <v>9.6999999999999993</v>
      </c>
      <c r="AF25" s="1">
        <v>9.8000000000000007</v>
      </c>
      <c r="AG25" s="1">
        <v>9.6999999999999993</v>
      </c>
      <c r="AH25" s="1">
        <v>9.6</v>
      </c>
      <c r="AI25" s="1">
        <v>9.6999999999999993</v>
      </c>
      <c r="AJ25" s="1">
        <v>9.6999999999999993</v>
      </c>
      <c r="AK25" s="1">
        <v>10</v>
      </c>
      <c r="AL25" s="1">
        <v>9.9</v>
      </c>
      <c r="AM25" s="1">
        <v>10</v>
      </c>
      <c r="AN25" s="1">
        <v>9.9</v>
      </c>
      <c r="AO25" s="1">
        <v>9.8000000000000007</v>
      </c>
      <c r="AP25" s="1">
        <v>9.9</v>
      </c>
      <c r="AQ25" s="1">
        <v>9.6</v>
      </c>
      <c r="AR25" s="1">
        <v>9.6999999999999993</v>
      </c>
      <c r="AS25" s="1">
        <v>9.6</v>
      </c>
      <c r="AT25" s="1">
        <v>9.5</v>
      </c>
      <c r="AU25" s="1">
        <v>9.9</v>
      </c>
      <c r="AV25" s="1">
        <v>9.6</v>
      </c>
    </row>
    <row r="26" spans="1:48" x14ac:dyDescent="0.2">
      <c r="A26" s="1" t="s">
        <v>6</v>
      </c>
      <c r="B26" s="1">
        <v>10.1</v>
      </c>
      <c r="C26" s="1">
        <v>10</v>
      </c>
      <c r="D26" s="1">
        <v>10.4</v>
      </c>
      <c r="E26" s="1">
        <v>10</v>
      </c>
      <c r="F26" s="1">
        <v>9.6999999999999993</v>
      </c>
      <c r="G26" s="1">
        <v>10.1</v>
      </c>
      <c r="H26" s="1">
        <v>10</v>
      </c>
      <c r="I26" s="1">
        <v>9.6</v>
      </c>
      <c r="J26" s="1">
        <v>9.9</v>
      </c>
      <c r="K26" s="1">
        <v>9.6</v>
      </c>
      <c r="L26" s="1">
        <v>9.9</v>
      </c>
      <c r="M26" s="1">
        <v>9.8000000000000007</v>
      </c>
      <c r="N26" s="1">
        <v>10.3</v>
      </c>
      <c r="O26" s="1">
        <v>10.8</v>
      </c>
      <c r="P26" s="1">
        <v>10.5</v>
      </c>
      <c r="Q26" s="1">
        <v>10.199999999999999</v>
      </c>
      <c r="R26" s="1">
        <v>9.9</v>
      </c>
      <c r="S26" s="1">
        <v>10</v>
      </c>
      <c r="T26" s="1">
        <v>9.6</v>
      </c>
      <c r="U26" s="1">
        <v>9.4</v>
      </c>
      <c r="V26" s="1">
        <v>9.3000000000000007</v>
      </c>
      <c r="W26" s="1">
        <v>9.6999999999999993</v>
      </c>
      <c r="X26" s="1">
        <v>9.6999999999999993</v>
      </c>
      <c r="Y26" s="1">
        <v>10</v>
      </c>
      <c r="Z26" s="1">
        <v>9.6999999999999993</v>
      </c>
      <c r="AA26" s="1">
        <v>9.5</v>
      </c>
      <c r="AB26" s="1">
        <v>9.4</v>
      </c>
      <c r="AC26" s="1">
        <v>9.5</v>
      </c>
      <c r="AD26" s="1">
        <v>9.6</v>
      </c>
      <c r="AE26" s="1">
        <v>9.5</v>
      </c>
      <c r="AF26" s="1">
        <v>9.3000000000000007</v>
      </c>
      <c r="AG26" s="1">
        <v>9.3000000000000007</v>
      </c>
      <c r="AH26" s="1">
        <v>9.4</v>
      </c>
      <c r="AI26" s="1">
        <v>9.6999999999999993</v>
      </c>
      <c r="AJ26" s="1">
        <v>9.3000000000000007</v>
      </c>
      <c r="AK26" s="1">
        <v>9.4</v>
      </c>
      <c r="AL26" s="1">
        <v>9.1</v>
      </c>
      <c r="AM26" s="1">
        <v>9.1999999999999993</v>
      </c>
      <c r="AN26" s="1">
        <v>9.1</v>
      </c>
      <c r="AO26" s="1">
        <v>9.1999999999999993</v>
      </c>
      <c r="AP26" s="1">
        <v>9.1</v>
      </c>
      <c r="AQ26" s="1">
        <v>9.1</v>
      </c>
      <c r="AR26" s="1">
        <v>9.4</v>
      </c>
      <c r="AS26" s="1">
        <v>9.4</v>
      </c>
      <c r="AT26" s="1">
        <v>9.1999999999999993</v>
      </c>
      <c r="AU26" s="1">
        <v>9.6</v>
      </c>
      <c r="AV26" s="1">
        <v>9.5</v>
      </c>
    </row>
    <row r="27" spans="1:48" x14ac:dyDescent="0.2">
      <c r="A27" s="1" t="s">
        <v>28</v>
      </c>
      <c r="B27" s="1">
        <v>12.159000000000001</v>
      </c>
      <c r="C27" s="1">
        <v>11.911</v>
      </c>
      <c r="D27" s="1">
        <v>11.673999999999999</v>
      </c>
      <c r="E27" s="1">
        <v>11.443</v>
      </c>
      <c r="F27" s="1">
        <v>11.218999999999999</v>
      </c>
      <c r="G27" s="1">
        <v>11.007</v>
      </c>
      <c r="H27" s="1">
        <v>10.815</v>
      </c>
      <c r="I27" s="1">
        <v>10.65</v>
      </c>
      <c r="J27" s="1">
        <v>10.513999999999999</v>
      </c>
      <c r="K27" s="1">
        <v>10.406000000000001</v>
      </c>
      <c r="L27" s="1">
        <v>10.319000000000001</v>
      </c>
      <c r="M27" s="1">
        <v>10.242000000000001</v>
      </c>
      <c r="N27" s="1">
        <v>10.167</v>
      </c>
      <c r="O27" s="1">
        <v>10.086</v>
      </c>
      <c r="P27" s="1">
        <v>9.9969999999999999</v>
      </c>
      <c r="Q27" s="1">
        <v>9.9090000000000007</v>
      </c>
      <c r="R27" s="1">
        <v>9.8350000000000009</v>
      </c>
      <c r="S27" s="1">
        <v>9.782</v>
      </c>
      <c r="T27" s="1">
        <v>9.7509999999999994</v>
      </c>
      <c r="U27" s="1">
        <v>9.7309999999999999</v>
      </c>
      <c r="V27" s="1">
        <v>9.7029999999999994</v>
      </c>
      <c r="W27" s="1">
        <v>9.64</v>
      </c>
      <c r="X27" s="1">
        <v>9.5210000000000008</v>
      </c>
      <c r="Y27" s="1">
        <v>9.3360000000000003</v>
      </c>
      <c r="Z27" s="1">
        <v>9.0850000000000009</v>
      </c>
      <c r="AA27" s="1">
        <v>8.7750000000000004</v>
      </c>
      <c r="AB27" s="1">
        <v>8.4209999999999994</v>
      </c>
      <c r="AC27" s="1">
        <v>8.0489999999999995</v>
      </c>
      <c r="AD27" s="1">
        <v>7.6849999999999996</v>
      </c>
      <c r="AE27" s="1">
        <v>7.3419999999999996</v>
      </c>
      <c r="AF27" s="1">
        <v>7.0330000000000004</v>
      </c>
      <c r="AG27" s="1">
        <v>6.7629999999999999</v>
      </c>
      <c r="AH27" s="1">
        <v>6.5279999999999996</v>
      </c>
      <c r="AI27" s="1">
        <v>6.3220000000000001</v>
      </c>
      <c r="AJ27" s="1">
        <v>6.1449999999999996</v>
      </c>
      <c r="AK27" s="1">
        <v>5.9960000000000004</v>
      </c>
      <c r="AL27" s="1">
        <v>5.8680000000000003</v>
      </c>
      <c r="AM27" s="1">
        <v>5.758</v>
      </c>
      <c r="AN27" s="1">
        <v>5.6589999999999998</v>
      </c>
      <c r="AO27" s="1">
        <v>5.5679999999999996</v>
      </c>
      <c r="AP27" s="1">
        <v>5.4850000000000003</v>
      </c>
      <c r="AQ27" s="1">
        <v>5.4080000000000004</v>
      </c>
      <c r="AR27" s="1">
        <v>5.3410000000000002</v>
      </c>
      <c r="AS27" s="1">
        <v>5.2839999999999998</v>
      </c>
      <c r="AT27" s="1">
        <v>5.2350000000000003</v>
      </c>
      <c r="AU27" s="1">
        <v>5.194</v>
      </c>
      <c r="AV27" s="1">
        <v>5.1580000000000004</v>
      </c>
    </row>
    <row r="28" spans="1:48" x14ac:dyDescent="0.2">
      <c r="A28" s="1" t="s">
        <v>32</v>
      </c>
      <c r="B28" s="1">
        <v>11.824</v>
      </c>
      <c r="C28" s="1">
        <v>11.555</v>
      </c>
      <c r="D28" s="1">
        <v>11.327999999999999</v>
      </c>
      <c r="E28" s="1">
        <v>11.132999999999999</v>
      </c>
      <c r="F28" s="1">
        <v>10.962999999999999</v>
      </c>
      <c r="G28" s="1">
        <v>10.808</v>
      </c>
      <c r="H28" s="1">
        <v>10.657</v>
      </c>
      <c r="I28" s="1">
        <v>10.502000000000001</v>
      </c>
      <c r="J28" s="1">
        <v>10.339</v>
      </c>
      <c r="K28" s="1">
        <v>10.164999999999999</v>
      </c>
      <c r="L28" s="1">
        <v>9.9849999999999994</v>
      </c>
      <c r="M28" s="1">
        <v>9.8030000000000008</v>
      </c>
      <c r="N28" s="1">
        <v>9.6300000000000008</v>
      </c>
      <c r="O28" s="1">
        <v>9.4719999999999995</v>
      </c>
      <c r="P28" s="1">
        <v>9.3320000000000007</v>
      </c>
      <c r="Q28" s="1">
        <v>9.2129999999999992</v>
      </c>
      <c r="R28" s="1">
        <v>9.1129999999999995</v>
      </c>
      <c r="S28" s="1">
        <v>9.0289999999999999</v>
      </c>
      <c r="T28" s="1">
        <v>8.9540000000000006</v>
      </c>
      <c r="U28" s="1">
        <v>8.8840000000000003</v>
      </c>
      <c r="V28" s="1">
        <v>8.8109999999999999</v>
      </c>
      <c r="W28" s="1">
        <v>8.7270000000000003</v>
      </c>
      <c r="X28" s="1">
        <v>8.6300000000000008</v>
      </c>
      <c r="Y28" s="1">
        <v>8.5180000000000007</v>
      </c>
      <c r="Z28" s="1">
        <v>8.3930000000000007</v>
      </c>
      <c r="AA28" s="1">
        <v>8.2620000000000005</v>
      </c>
      <c r="AB28" s="1">
        <v>8.1329999999999991</v>
      </c>
      <c r="AC28" s="1">
        <v>8.016</v>
      </c>
      <c r="AD28" s="1">
        <v>7.9169999999999998</v>
      </c>
      <c r="AE28" s="1">
        <v>7.8360000000000003</v>
      </c>
      <c r="AF28" s="1">
        <v>7.7709999999999999</v>
      </c>
      <c r="AG28" s="1">
        <v>7.7149999999999999</v>
      </c>
      <c r="AH28" s="1">
        <v>7.66</v>
      </c>
      <c r="AI28" s="1">
        <v>7.601</v>
      </c>
      <c r="AJ28" s="1">
        <v>7.5359999999999996</v>
      </c>
      <c r="AK28" s="1">
        <v>7.4669999999999996</v>
      </c>
      <c r="AL28" s="1">
        <v>7.399</v>
      </c>
      <c r="AM28" s="1">
        <v>7.3369999999999997</v>
      </c>
      <c r="AN28" s="1">
        <v>7.2850000000000001</v>
      </c>
      <c r="AO28" s="1">
        <v>7.2450000000000001</v>
      </c>
      <c r="AP28" s="1">
        <v>7.2140000000000004</v>
      </c>
      <c r="AQ28" s="1">
        <v>7.1890000000000001</v>
      </c>
      <c r="AR28" s="1">
        <v>7.1669999999999998</v>
      </c>
      <c r="AS28" s="1">
        <v>7.1449999999999996</v>
      </c>
      <c r="AT28" s="1">
        <v>7.1219999999999999</v>
      </c>
      <c r="AU28" s="1">
        <v>7.0979999999999999</v>
      </c>
      <c r="AV28" s="1">
        <v>7.0759999999999996</v>
      </c>
    </row>
    <row r="29" spans="1:48" x14ac:dyDescent="0.2">
      <c r="A29" s="1" t="s">
        <v>8</v>
      </c>
      <c r="B29" s="1">
        <v>8.83</v>
      </c>
      <c r="C29" s="1">
        <v>9.032</v>
      </c>
      <c r="D29" s="1">
        <v>9.2490000000000006</v>
      </c>
      <c r="E29" s="1">
        <v>9.4819999999999993</v>
      </c>
      <c r="F29" s="1">
        <v>9.7270000000000003</v>
      </c>
      <c r="G29" s="1">
        <v>9.9860000000000007</v>
      </c>
      <c r="H29" s="1">
        <v>10.263999999999999</v>
      </c>
      <c r="I29" s="1">
        <v>10.558999999999999</v>
      </c>
      <c r="J29" s="1">
        <v>10.862</v>
      </c>
      <c r="K29" s="1">
        <v>11.162000000000001</v>
      </c>
      <c r="L29" s="1">
        <v>11.43</v>
      </c>
      <c r="M29" s="1">
        <v>11.3</v>
      </c>
      <c r="N29" s="1">
        <v>11.3</v>
      </c>
      <c r="O29" s="1">
        <v>11.5</v>
      </c>
      <c r="P29" s="1">
        <v>12</v>
      </c>
      <c r="Q29" s="1">
        <v>11.768000000000001</v>
      </c>
      <c r="R29" s="1">
        <v>11.1</v>
      </c>
      <c r="S29" s="1">
        <v>11.4</v>
      </c>
      <c r="T29" s="1">
        <v>11.6</v>
      </c>
      <c r="U29" s="1">
        <v>11.6</v>
      </c>
      <c r="V29" s="1">
        <v>12.1</v>
      </c>
      <c r="W29" s="1">
        <v>12.9</v>
      </c>
      <c r="X29" s="1">
        <v>13.4</v>
      </c>
      <c r="Y29" s="1">
        <v>14.2</v>
      </c>
      <c r="Z29" s="1">
        <v>14.7</v>
      </c>
      <c r="AA29" s="1">
        <v>15.4</v>
      </c>
      <c r="AB29" s="1">
        <v>15.2</v>
      </c>
      <c r="AC29" s="1">
        <v>14.9</v>
      </c>
      <c r="AD29" s="1">
        <v>14.3</v>
      </c>
      <c r="AE29" s="1">
        <v>14.8</v>
      </c>
      <c r="AF29" s="1">
        <v>15.3</v>
      </c>
      <c r="AG29" s="1">
        <v>15.3</v>
      </c>
      <c r="AH29" s="1">
        <v>15.3</v>
      </c>
      <c r="AI29" s="1">
        <v>16.0082153</v>
      </c>
      <c r="AJ29" s="1">
        <v>16.043716100000001</v>
      </c>
      <c r="AK29" s="1">
        <v>16.600000000000001</v>
      </c>
      <c r="AL29" s="1">
        <v>16.2</v>
      </c>
      <c r="AM29" s="1">
        <v>16.399999999999999</v>
      </c>
      <c r="AN29" s="1">
        <v>16.309999999999999</v>
      </c>
      <c r="AO29" s="1">
        <v>15.3</v>
      </c>
      <c r="AP29" s="1">
        <v>15.2</v>
      </c>
      <c r="AQ29" s="1">
        <v>14.5</v>
      </c>
      <c r="AR29" s="1">
        <v>14.5</v>
      </c>
      <c r="AS29" s="1">
        <v>14.6</v>
      </c>
      <c r="AT29" s="1">
        <v>14.7</v>
      </c>
      <c r="AU29" s="1">
        <v>14.9</v>
      </c>
      <c r="AV29" s="1">
        <v>14.7</v>
      </c>
    </row>
    <row r="30" spans="1:48" x14ac:dyDescent="0.2">
      <c r="A30" s="1" t="s">
        <v>33</v>
      </c>
      <c r="B30" s="1">
        <v>10.467000000000001</v>
      </c>
      <c r="C30" s="1">
        <v>10.262</v>
      </c>
      <c r="D30" s="1">
        <v>10.083</v>
      </c>
      <c r="E30" s="1">
        <v>9.923</v>
      </c>
      <c r="F30" s="1">
        <v>9.7769999999999992</v>
      </c>
      <c r="G30" s="1">
        <v>9.6419999999999995</v>
      </c>
      <c r="H30" s="1">
        <v>9.5120000000000005</v>
      </c>
      <c r="I30" s="1">
        <v>9.3840000000000003</v>
      </c>
      <c r="J30" s="1">
        <v>9.2569999999999997</v>
      </c>
      <c r="K30" s="1">
        <v>7</v>
      </c>
      <c r="L30" s="1">
        <v>7.5</v>
      </c>
      <c r="M30" s="1">
        <v>7.2</v>
      </c>
      <c r="N30" s="1">
        <v>7.4</v>
      </c>
      <c r="O30" s="1">
        <v>7.5</v>
      </c>
      <c r="P30" s="1">
        <v>7.5</v>
      </c>
      <c r="Q30" s="1">
        <v>7.2</v>
      </c>
      <c r="R30" s="1">
        <v>7.1</v>
      </c>
      <c r="S30" s="1">
        <v>7</v>
      </c>
      <c r="T30" s="1">
        <v>6.9</v>
      </c>
      <c r="U30" s="1">
        <v>6.3</v>
      </c>
      <c r="V30" s="1">
        <v>6.1</v>
      </c>
      <c r="W30" s="1">
        <v>6.2</v>
      </c>
      <c r="X30" s="1">
        <v>6.5</v>
      </c>
      <c r="Y30" s="1">
        <v>6.6</v>
      </c>
      <c r="Z30" s="1">
        <v>6.6</v>
      </c>
      <c r="AA30" s="1">
        <v>6.4</v>
      </c>
      <c r="AB30" s="1">
        <v>6.2</v>
      </c>
      <c r="AC30" s="1">
        <v>5.8</v>
      </c>
      <c r="AD30" s="1">
        <v>5.9</v>
      </c>
      <c r="AE30" s="1">
        <v>5.3689924099999997</v>
      </c>
      <c r="AF30" s="1">
        <v>5.5008406799999996</v>
      </c>
      <c r="AG30" s="1">
        <v>5.3092334499999998</v>
      </c>
      <c r="AH30" s="1">
        <v>5.4221634099999996</v>
      </c>
      <c r="AI30" s="1">
        <v>5.3165985500000001</v>
      </c>
      <c r="AJ30" s="1">
        <v>5.0400193199999999</v>
      </c>
      <c r="AK30" s="1">
        <v>5.3726027099999998</v>
      </c>
      <c r="AL30" s="1">
        <v>5.2710907999999996</v>
      </c>
      <c r="AM30" s="1">
        <v>5.1150045100000003</v>
      </c>
      <c r="AN30" s="1">
        <v>5.0834532799999996</v>
      </c>
      <c r="AO30" s="1">
        <v>4.8</v>
      </c>
      <c r="AP30" s="1">
        <v>4.9000000000000004</v>
      </c>
      <c r="AQ30" s="1">
        <v>4.9000000000000004</v>
      </c>
      <c r="AR30" s="1">
        <v>4.9000000000000004</v>
      </c>
      <c r="AS30" s="1">
        <v>4.8</v>
      </c>
      <c r="AT30" s="1">
        <v>4.9000000000000004</v>
      </c>
      <c r="AU30" s="1">
        <v>4.9000000000000004</v>
      </c>
      <c r="AV30" s="1">
        <v>4.9000000000000004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F388F-5F50-8B45-81A8-110FE30B4FEF}">
  <dimension ref="A1:BH30"/>
  <sheetViews>
    <sheetView workbookViewId="0">
      <selection activeCell="B61" sqref="B61"/>
    </sheetView>
  </sheetViews>
  <sheetFormatPr baseColWidth="10" defaultRowHeight="16" x14ac:dyDescent="0.2"/>
  <cols>
    <col min="1" max="16384" width="10.83203125" style="1"/>
  </cols>
  <sheetData>
    <row r="1" spans="1:60" x14ac:dyDescent="0.2">
      <c r="B1" s="1">
        <v>1960</v>
      </c>
      <c r="C1" s="1">
        <v>1961</v>
      </c>
      <c r="D1" s="1">
        <v>1962</v>
      </c>
      <c r="E1" s="1">
        <v>1963</v>
      </c>
      <c r="F1" s="1">
        <v>1964</v>
      </c>
      <c r="G1" s="1">
        <v>1965</v>
      </c>
      <c r="H1" s="1">
        <v>1966</v>
      </c>
      <c r="I1" s="1">
        <v>1967</v>
      </c>
      <c r="J1" s="1">
        <v>1968</v>
      </c>
      <c r="K1" s="1">
        <v>1969</v>
      </c>
      <c r="L1" s="1">
        <v>1970</v>
      </c>
      <c r="M1" s="1">
        <v>1971</v>
      </c>
      <c r="N1" s="1">
        <v>1972</v>
      </c>
      <c r="O1" s="1">
        <v>1973</v>
      </c>
      <c r="P1" s="1">
        <v>1974</v>
      </c>
      <c r="Q1" s="1">
        <v>1975</v>
      </c>
      <c r="R1" s="1">
        <v>1976</v>
      </c>
      <c r="S1" s="1">
        <v>1977</v>
      </c>
      <c r="T1" s="1">
        <v>1978</v>
      </c>
      <c r="U1" s="1">
        <v>1979</v>
      </c>
      <c r="V1" s="1">
        <v>1980</v>
      </c>
      <c r="W1" s="1">
        <v>1981</v>
      </c>
      <c r="X1" s="1">
        <v>1982</v>
      </c>
      <c r="Y1" s="1">
        <v>1983</v>
      </c>
      <c r="Z1" s="1">
        <v>1984</v>
      </c>
      <c r="AA1" s="1">
        <v>1985</v>
      </c>
      <c r="AB1" s="1">
        <v>1986</v>
      </c>
      <c r="AC1" s="1">
        <v>1987</v>
      </c>
      <c r="AD1" s="1">
        <v>1988</v>
      </c>
      <c r="AE1" s="1">
        <v>1989</v>
      </c>
      <c r="AF1" s="1">
        <v>1990</v>
      </c>
      <c r="AG1" s="1">
        <v>1991</v>
      </c>
      <c r="AH1" s="1">
        <v>1992</v>
      </c>
      <c r="AI1" s="1">
        <v>1993</v>
      </c>
      <c r="AJ1" s="1">
        <v>1994</v>
      </c>
      <c r="AK1" s="1">
        <v>1995</v>
      </c>
      <c r="AL1" s="1">
        <v>1996</v>
      </c>
      <c r="AM1" s="1">
        <v>1997</v>
      </c>
      <c r="AN1" s="1">
        <v>1998</v>
      </c>
      <c r="AO1" s="1">
        <v>1999</v>
      </c>
      <c r="AP1" s="1">
        <v>2000</v>
      </c>
      <c r="AQ1" s="1">
        <v>2001</v>
      </c>
      <c r="AR1" s="1">
        <v>2002</v>
      </c>
      <c r="AS1" s="1">
        <v>2003</v>
      </c>
      <c r="AT1" s="1">
        <v>2004</v>
      </c>
      <c r="AU1" s="1">
        <v>2005</v>
      </c>
      <c r="AV1" s="1">
        <v>2006</v>
      </c>
      <c r="AW1" s="1">
        <v>2007</v>
      </c>
      <c r="AX1" s="1">
        <v>2008</v>
      </c>
      <c r="AY1" s="1">
        <v>2009</v>
      </c>
      <c r="AZ1" s="1">
        <v>2010</v>
      </c>
      <c r="BA1" s="1">
        <v>2011</v>
      </c>
      <c r="BB1" s="1">
        <v>2012</v>
      </c>
      <c r="BC1" s="1">
        <v>2013</v>
      </c>
      <c r="BD1" s="1">
        <v>2014</v>
      </c>
      <c r="BE1" s="1">
        <v>2015</v>
      </c>
      <c r="BF1" s="1">
        <v>2016</v>
      </c>
      <c r="BG1" s="1">
        <v>2017</v>
      </c>
      <c r="BH1" s="1">
        <v>2018</v>
      </c>
    </row>
    <row r="2" spans="1:60" x14ac:dyDescent="0.2">
      <c r="A2" s="1" t="s">
        <v>27</v>
      </c>
      <c r="B2" s="1">
        <v>6.4889999999999999</v>
      </c>
      <c r="C2" s="1">
        <v>6.4009999999999998</v>
      </c>
      <c r="D2" s="1">
        <v>6.282</v>
      </c>
      <c r="E2" s="1">
        <v>6.133</v>
      </c>
      <c r="F2" s="1">
        <v>5.96</v>
      </c>
      <c r="G2" s="1">
        <v>5.7729999999999997</v>
      </c>
      <c r="H2" s="1">
        <v>5.5810000000000004</v>
      </c>
      <c r="I2" s="1">
        <v>5.3940000000000001</v>
      </c>
      <c r="J2" s="1">
        <v>5.218</v>
      </c>
      <c r="K2" s="1">
        <v>5.0570000000000004</v>
      </c>
      <c r="L2" s="1">
        <v>4.91</v>
      </c>
      <c r="M2" s="1">
        <v>4.7750000000000004</v>
      </c>
      <c r="N2" s="1">
        <v>4.6420000000000003</v>
      </c>
      <c r="O2" s="1">
        <v>4.5090000000000003</v>
      </c>
      <c r="P2" s="1">
        <v>4.3730000000000002</v>
      </c>
      <c r="Q2" s="1">
        <v>4.2350000000000003</v>
      </c>
      <c r="R2" s="1">
        <v>4.0990000000000002</v>
      </c>
      <c r="S2" s="1">
        <v>3.9660000000000002</v>
      </c>
      <c r="T2" s="1">
        <v>3.8410000000000002</v>
      </c>
      <c r="U2" s="1">
        <v>3.7250000000000001</v>
      </c>
      <c r="V2" s="1">
        <v>3.621</v>
      </c>
      <c r="W2" s="1">
        <v>3.53</v>
      </c>
      <c r="X2" s="1">
        <v>3.452</v>
      </c>
      <c r="Y2" s="1">
        <v>3.383</v>
      </c>
      <c r="Z2" s="1">
        <v>3.323</v>
      </c>
      <c r="AA2" s="1">
        <v>3.2690000000000001</v>
      </c>
      <c r="AB2" s="1">
        <v>3.2170000000000001</v>
      </c>
      <c r="AC2" s="1">
        <v>3.1640000000000001</v>
      </c>
      <c r="AD2" s="1">
        <v>3.1080000000000001</v>
      </c>
      <c r="AE2" s="1">
        <v>3.0459999999999998</v>
      </c>
      <c r="AF2" s="1">
        <v>2.9780000000000002</v>
      </c>
      <c r="AG2" s="1">
        <v>2.9049999999999998</v>
      </c>
      <c r="AH2" s="1">
        <v>2.8290000000000002</v>
      </c>
      <c r="AI2" s="1">
        <v>2.7509999999999999</v>
      </c>
      <c r="AJ2" s="1">
        <v>2.6720000000000002</v>
      </c>
      <c r="AK2" s="1">
        <v>2.5910000000000002</v>
      </c>
      <c r="AL2" s="1">
        <v>2.5070000000000001</v>
      </c>
      <c r="AM2" s="1">
        <v>2.4220000000000002</v>
      </c>
      <c r="AN2" s="1">
        <v>2.3340000000000001</v>
      </c>
      <c r="AO2" s="1">
        <v>2.246</v>
      </c>
      <c r="AP2" s="1">
        <v>2.157</v>
      </c>
      <c r="AQ2" s="1">
        <v>2.0680000000000001</v>
      </c>
      <c r="AR2" s="1">
        <v>1.9810000000000001</v>
      </c>
      <c r="AS2" s="1">
        <v>1.897</v>
      </c>
      <c r="AT2" s="1">
        <v>1.821</v>
      </c>
      <c r="AU2" s="1">
        <v>1.7549999999999999</v>
      </c>
      <c r="AV2" s="1">
        <v>1.704</v>
      </c>
      <c r="AW2" s="1">
        <v>1.671</v>
      </c>
      <c r="AX2" s="1">
        <v>1.6539999999999999</v>
      </c>
      <c r="AY2" s="1">
        <v>1.6519999999999999</v>
      </c>
      <c r="AZ2" s="1">
        <v>1.66</v>
      </c>
      <c r="BA2" s="1">
        <v>1.673</v>
      </c>
      <c r="BB2" s="1">
        <v>1.6839999999999999</v>
      </c>
      <c r="BC2" s="1">
        <v>1.69</v>
      </c>
      <c r="BD2" s="1">
        <v>1.6879999999999999</v>
      </c>
      <c r="BE2" s="1">
        <v>1.677</v>
      </c>
      <c r="BF2" s="1">
        <v>1.659</v>
      </c>
      <c r="BG2" s="1">
        <v>1.6379999999999999</v>
      </c>
      <c r="BH2" s="1">
        <v>1.617</v>
      </c>
    </row>
    <row r="3" spans="1:60" x14ac:dyDescent="0.2">
      <c r="A3" s="1" t="s">
        <v>23</v>
      </c>
      <c r="B3" s="1">
        <v>4.7859999999999996</v>
      </c>
      <c r="C3" s="1">
        <v>4.67</v>
      </c>
      <c r="D3" s="1">
        <v>4.5209999999999999</v>
      </c>
      <c r="E3" s="1">
        <v>4.3449999999999998</v>
      </c>
      <c r="F3" s="1">
        <v>4.1500000000000004</v>
      </c>
      <c r="G3" s="1">
        <v>3.95</v>
      </c>
      <c r="H3" s="1">
        <v>3.758</v>
      </c>
      <c r="I3" s="1">
        <v>3.5819999999999999</v>
      </c>
      <c r="J3" s="1">
        <v>3.4289999999999998</v>
      </c>
      <c r="K3" s="1">
        <v>3.302</v>
      </c>
      <c r="L3" s="1">
        <v>3.1989999999999998</v>
      </c>
      <c r="M3" s="1">
        <v>3.1139999999999999</v>
      </c>
      <c r="N3" s="1">
        <v>3.0350000000000001</v>
      </c>
      <c r="O3" s="1">
        <v>2.956</v>
      </c>
      <c r="P3" s="1">
        <v>2.875</v>
      </c>
      <c r="Q3" s="1">
        <v>2.7919999999999998</v>
      </c>
      <c r="R3" s="1">
        <v>2.7120000000000002</v>
      </c>
      <c r="S3" s="1">
        <v>2.641</v>
      </c>
      <c r="T3" s="1">
        <v>2.5819999999999999</v>
      </c>
      <c r="U3" s="1">
        <v>2.5379999999999998</v>
      </c>
      <c r="V3" s="1">
        <v>2.5099999999999998</v>
      </c>
      <c r="W3" s="1">
        <v>2.4990000000000001</v>
      </c>
      <c r="X3" s="1">
        <v>2.5030000000000001</v>
      </c>
      <c r="Y3" s="1">
        <v>2.5169999999999999</v>
      </c>
      <c r="Z3" s="1">
        <v>2.5379999999999998</v>
      </c>
      <c r="AA3" s="1">
        <v>2.5590000000000002</v>
      </c>
      <c r="AB3" s="1">
        <v>2.5779999999999998</v>
      </c>
      <c r="AC3" s="1">
        <v>2.5910000000000002</v>
      </c>
      <c r="AD3" s="1">
        <v>2.5920000000000001</v>
      </c>
      <c r="AE3" s="1">
        <v>2.5779999999999998</v>
      </c>
      <c r="AF3" s="1">
        <v>2.544</v>
      </c>
      <c r="AG3" s="1">
        <v>2.484</v>
      </c>
      <c r="AH3" s="1">
        <v>2.4</v>
      </c>
      <c r="AI3" s="1">
        <v>2.2970000000000002</v>
      </c>
      <c r="AJ3" s="1">
        <v>2.1789999999999998</v>
      </c>
      <c r="AK3" s="1">
        <v>2.056</v>
      </c>
      <c r="AL3" s="1">
        <v>1.9379999999999999</v>
      </c>
      <c r="AM3" s="1">
        <v>1.8320000000000001</v>
      </c>
      <c r="AN3" s="1">
        <v>1.7470000000000001</v>
      </c>
      <c r="AO3" s="1">
        <v>1.6850000000000001</v>
      </c>
      <c r="AP3" s="1">
        <v>1.6479999999999999</v>
      </c>
      <c r="AQ3" s="1">
        <v>1.6339999999999999</v>
      </c>
      <c r="AR3" s="1">
        <v>1.635</v>
      </c>
      <c r="AS3" s="1">
        <v>1.645</v>
      </c>
      <c r="AT3" s="1">
        <v>1.659</v>
      </c>
      <c r="AU3" s="1">
        <v>1.675</v>
      </c>
      <c r="AV3" s="1">
        <v>1.69</v>
      </c>
      <c r="AW3" s="1">
        <v>1.702</v>
      </c>
      <c r="AX3" s="1">
        <v>1.712</v>
      </c>
      <c r="AY3" s="1">
        <v>1.7190000000000001</v>
      </c>
      <c r="AZ3" s="1">
        <v>1.722</v>
      </c>
      <c r="BA3" s="1">
        <v>1.724</v>
      </c>
      <c r="BB3" s="1">
        <v>1.7250000000000001</v>
      </c>
      <c r="BC3" s="1">
        <v>1.728</v>
      </c>
      <c r="BD3" s="1">
        <v>1.732</v>
      </c>
      <c r="BE3" s="1">
        <v>1.738</v>
      </c>
      <c r="BF3" s="1">
        <v>1.744</v>
      </c>
      <c r="BG3" s="1">
        <v>1.75</v>
      </c>
      <c r="BH3" s="1">
        <v>1.7549999999999999</v>
      </c>
    </row>
    <row r="4" spans="1:60" x14ac:dyDescent="0.2">
      <c r="A4" s="1" t="s">
        <v>29</v>
      </c>
      <c r="B4" s="1">
        <v>5.8780000000000001</v>
      </c>
      <c r="C4" s="1">
        <v>5.9370000000000003</v>
      </c>
      <c r="D4" s="1">
        <v>5.9610000000000003</v>
      </c>
      <c r="E4" s="1">
        <v>5.9450000000000003</v>
      </c>
      <c r="F4" s="1">
        <v>5.8879999999999999</v>
      </c>
      <c r="G4" s="1">
        <v>5.7919999999999998</v>
      </c>
      <c r="H4" s="1">
        <v>5.6630000000000003</v>
      </c>
      <c r="I4" s="1">
        <v>5.5119999999999996</v>
      </c>
      <c r="J4" s="1">
        <v>5.351</v>
      </c>
      <c r="K4" s="1">
        <v>5.1849999999999996</v>
      </c>
      <c r="L4" s="1">
        <v>5.0179999999999998</v>
      </c>
      <c r="M4" s="1">
        <v>4.8499999999999996</v>
      </c>
      <c r="N4" s="1">
        <v>4.681</v>
      </c>
      <c r="O4" s="1">
        <v>4.51</v>
      </c>
      <c r="P4" s="1">
        <v>4.3410000000000002</v>
      </c>
      <c r="Q4" s="1">
        <v>4.1760000000000002</v>
      </c>
      <c r="R4" s="1">
        <v>4.0179999999999998</v>
      </c>
      <c r="S4" s="1">
        <v>3.8690000000000002</v>
      </c>
      <c r="T4" s="1">
        <v>3.73</v>
      </c>
      <c r="U4" s="1">
        <v>3.605</v>
      </c>
      <c r="V4" s="1">
        <v>3.4969999999999999</v>
      </c>
      <c r="W4" s="1">
        <v>3.41</v>
      </c>
      <c r="X4" s="1">
        <v>3.343</v>
      </c>
      <c r="Y4" s="1">
        <v>3.2930000000000001</v>
      </c>
      <c r="Z4" s="1">
        <v>3.2589999999999999</v>
      </c>
      <c r="AA4" s="1">
        <v>2.91</v>
      </c>
      <c r="AB4" s="1">
        <v>2.9</v>
      </c>
      <c r="AC4" s="1">
        <v>2.9026000000000001</v>
      </c>
      <c r="AD4" s="1">
        <v>2.8</v>
      </c>
      <c r="AE4" s="1">
        <v>2.8</v>
      </c>
      <c r="AF4" s="1">
        <v>2.74</v>
      </c>
      <c r="AG4" s="1">
        <v>2.87</v>
      </c>
      <c r="AH4" s="1">
        <v>2.74</v>
      </c>
      <c r="AI4" s="1">
        <v>2.7</v>
      </c>
      <c r="AJ4" s="1">
        <v>2.52</v>
      </c>
      <c r="AK4" s="1">
        <v>2.29</v>
      </c>
      <c r="AL4" s="1">
        <v>2.06</v>
      </c>
      <c r="AM4" s="1">
        <v>2.0699999999999998</v>
      </c>
      <c r="AN4" s="1">
        <v>2</v>
      </c>
      <c r="AO4" s="1">
        <v>2.0699999999999998</v>
      </c>
      <c r="AP4" s="1">
        <v>2</v>
      </c>
      <c r="AQ4" s="1">
        <v>1.8</v>
      </c>
      <c r="AR4" s="1">
        <v>1.8</v>
      </c>
      <c r="AS4" s="1">
        <v>1.9</v>
      </c>
      <c r="AT4" s="1">
        <v>2.0535000000000001</v>
      </c>
      <c r="AU4" s="1">
        <v>2</v>
      </c>
      <c r="AV4" s="1">
        <v>1.97</v>
      </c>
      <c r="AW4" s="1">
        <v>1.97</v>
      </c>
      <c r="AX4" s="1">
        <v>1.9</v>
      </c>
      <c r="AY4" s="1">
        <v>1.82</v>
      </c>
      <c r="AZ4" s="1">
        <v>1.92</v>
      </c>
      <c r="BA4" s="1">
        <v>1.96</v>
      </c>
      <c r="BB4" s="1">
        <v>2</v>
      </c>
      <c r="BC4" s="1">
        <v>1.98</v>
      </c>
      <c r="BD4" s="1">
        <v>1.97</v>
      </c>
      <c r="BE4" s="1">
        <v>1.94</v>
      </c>
      <c r="BF4" s="1">
        <v>1.9</v>
      </c>
      <c r="BG4" s="1">
        <v>1.75</v>
      </c>
      <c r="BH4" s="1">
        <v>1.73</v>
      </c>
    </row>
    <row r="5" spans="1:60" x14ac:dyDescent="0.2">
      <c r="A5" s="1" t="s">
        <v>3</v>
      </c>
      <c r="B5" s="1">
        <v>2.67</v>
      </c>
      <c r="C5" s="1">
        <v>2.59</v>
      </c>
      <c r="D5" s="1">
        <v>2.5</v>
      </c>
      <c r="E5" s="1">
        <v>2.4</v>
      </c>
      <c r="F5" s="1">
        <v>2.31</v>
      </c>
      <c r="G5" s="1">
        <v>2.27</v>
      </c>
      <c r="H5" s="1">
        <v>2.29</v>
      </c>
      <c r="I5" s="1">
        <v>2.2599999999999998</v>
      </c>
      <c r="J5" s="1">
        <v>2.2200000000000002</v>
      </c>
      <c r="K5" s="1">
        <v>2.2599999999999998</v>
      </c>
      <c r="L5" s="1">
        <v>2.31</v>
      </c>
      <c r="M5" s="1">
        <v>2.31</v>
      </c>
      <c r="N5" s="1">
        <v>2.2799999999999998</v>
      </c>
      <c r="O5" s="1">
        <v>2.25</v>
      </c>
      <c r="P5" s="1">
        <v>2.21</v>
      </c>
      <c r="Q5" s="1">
        <v>2.17</v>
      </c>
      <c r="R5" s="1">
        <v>2.12</v>
      </c>
      <c r="S5" s="1">
        <v>2.08</v>
      </c>
      <c r="T5" s="1">
        <v>2.06</v>
      </c>
      <c r="U5" s="1">
        <v>2.0499999999999998</v>
      </c>
      <c r="V5" s="1">
        <v>2.0299999999999998</v>
      </c>
      <c r="W5" s="1">
        <v>2.02</v>
      </c>
      <c r="X5" s="1">
        <v>2.0499999999999998</v>
      </c>
      <c r="Y5" s="1">
        <v>2.11</v>
      </c>
      <c r="Z5" s="1">
        <v>2.11</v>
      </c>
      <c r="AA5" s="1">
        <v>2.09</v>
      </c>
      <c r="AB5" s="1">
        <v>2.09</v>
      </c>
      <c r="AC5" s="1">
        <v>2.0299999999999998</v>
      </c>
      <c r="AD5" s="1">
        <v>2.0310000000000001</v>
      </c>
      <c r="AE5" s="1">
        <v>2.0259999999999998</v>
      </c>
      <c r="AF5" s="1">
        <v>1.913</v>
      </c>
      <c r="AG5" s="1">
        <v>1.8049999999999999</v>
      </c>
      <c r="AH5" s="1">
        <v>1.764</v>
      </c>
      <c r="AI5" s="1">
        <v>1.623</v>
      </c>
      <c r="AJ5" s="1">
        <v>1.5329999999999999</v>
      </c>
      <c r="AK5" s="1">
        <v>1.4059999999999999</v>
      </c>
      <c r="AL5" s="1">
        <v>1.335</v>
      </c>
      <c r="AM5" s="1">
        <v>1.25</v>
      </c>
      <c r="AN5" s="1">
        <v>1.3</v>
      </c>
      <c r="AO5" s="1">
        <v>1.31</v>
      </c>
      <c r="AP5" s="1">
        <v>1.3169999999999999</v>
      </c>
      <c r="AQ5" s="1">
        <v>1.286</v>
      </c>
      <c r="AR5" s="1">
        <v>1.24</v>
      </c>
      <c r="AS5" s="1">
        <v>1.232</v>
      </c>
      <c r="AT5" s="1">
        <v>1.2330000000000001</v>
      </c>
      <c r="AU5" s="1">
        <v>1.252</v>
      </c>
      <c r="AV5" s="1">
        <v>1.335</v>
      </c>
      <c r="AW5" s="1">
        <v>1.429</v>
      </c>
      <c r="AX5" s="1">
        <v>1.488</v>
      </c>
      <c r="AY5" s="1">
        <v>1.5089999999999999</v>
      </c>
      <c r="AZ5" s="1">
        <v>1.494</v>
      </c>
      <c r="BA5" s="1">
        <v>1.5149999999999999</v>
      </c>
      <c r="BB5" s="1">
        <v>1.62</v>
      </c>
      <c r="BC5" s="1">
        <v>1.6679999999999999</v>
      </c>
      <c r="BD5" s="1">
        <v>1.696</v>
      </c>
      <c r="BE5" s="1">
        <v>1.724</v>
      </c>
      <c r="BF5" s="1">
        <v>1.7330000000000001</v>
      </c>
      <c r="BG5" s="1">
        <v>1.5409999999999999</v>
      </c>
      <c r="BH5" s="1">
        <v>1.448</v>
      </c>
    </row>
    <row r="6" spans="1:60" x14ac:dyDescent="0.2">
      <c r="A6" s="1" t="s">
        <v>205</v>
      </c>
      <c r="B6" s="1">
        <v>3.8010000000000002</v>
      </c>
      <c r="C6" s="1">
        <v>3.74</v>
      </c>
      <c r="D6" s="1">
        <v>3.6760000000000002</v>
      </c>
      <c r="E6" s="1">
        <v>3.601</v>
      </c>
      <c r="F6" s="1">
        <v>3.5150000000000001</v>
      </c>
      <c r="G6" s="1">
        <v>3.4169999999999998</v>
      </c>
      <c r="H6" s="1">
        <v>3.3130000000000002</v>
      </c>
      <c r="I6" s="1">
        <v>3.2080000000000002</v>
      </c>
      <c r="J6" s="1">
        <v>3.109</v>
      </c>
      <c r="K6" s="1">
        <v>3.016</v>
      </c>
      <c r="L6" s="1">
        <v>2.9289999999999998</v>
      </c>
      <c r="M6" s="1">
        <v>2.8439999999999999</v>
      </c>
      <c r="N6" s="1">
        <v>2.7589999999999999</v>
      </c>
      <c r="O6" s="1">
        <v>2.6709999999999998</v>
      </c>
      <c r="P6" s="1">
        <v>2.58</v>
      </c>
      <c r="Q6" s="1">
        <v>2.4889999999999999</v>
      </c>
      <c r="R6" s="1">
        <v>2.4009999999999998</v>
      </c>
      <c r="S6" s="1">
        <v>2.3180000000000001</v>
      </c>
      <c r="T6" s="1">
        <v>2.2429999999999999</v>
      </c>
      <c r="U6" s="1">
        <v>2.1779999999999999</v>
      </c>
      <c r="V6" s="1">
        <v>2.1219999999999999</v>
      </c>
      <c r="W6" s="1">
        <v>2.0750000000000002</v>
      </c>
      <c r="X6" s="1">
        <v>2.0339999999999998</v>
      </c>
      <c r="Y6" s="1">
        <v>1.998</v>
      </c>
      <c r="Z6" s="1">
        <v>1.964</v>
      </c>
      <c r="AA6" s="1">
        <v>1.9319999999999999</v>
      </c>
      <c r="AB6" s="1">
        <v>1.9</v>
      </c>
      <c r="AC6" s="1">
        <v>1.8680000000000001</v>
      </c>
      <c r="AD6" s="1">
        <v>1.835</v>
      </c>
      <c r="AE6" s="1">
        <v>1.8029999999999999</v>
      </c>
      <c r="AF6" s="1">
        <v>1.772</v>
      </c>
      <c r="AG6" s="1">
        <v>1.748</v>
      </c>
      <c r="AH6" s="1">
        <v>1.73</v>
      </c>
      <c r="AI6" s="1">
        <v>1.72</v>
      </c>
      <c r="AJ6" s="1">
        <v>1.7130000000000001</v>
      </c>
      <c r="AK6" s="1">
        <v>1.706</v>
      </c>
      <c r="AL6" s="1">
        <v>1.69</v>
      </c>
      <c r="AM6" s="1">
        <v>1.6619999999999999</v>
      </c>
      <c r="AN6" s="1">
        <v>1.619</v>
      </c>
      <c r="AO6" s="1">
        <v>1.5620000000000001</v>
      </c>
      <c r="AP6" s="1">
        <v>1.4970000000000001</v>
      </c>
      <c r="AQ6" s="1">
        <v>1.4319999999999999</v>
      </c>
      <c r="AR6" s="1">
        <v>1.3740000000000001</v>
      </c>
      <c r="AS6" s="1">
        <v>1.33</v>
      </c>
      <c r="AT6" s="1">
        <v>1.3009999999999999</v>
      </c>
      <c r="AU6" s="1">
        <v>1.288</v>
      </c>
      <c r="AV6" s="1">
        <v>1.288</v>
      </c>
      <c r="AW6" s="1">
        <v>1.2949999999999999</v>
      </c>
      <c r="AX6" s="1">
        <v>1.3029999999999999</v>
      </c>
      <c r="AY6" s="1">
        <v>1.3109999999999999</v>
      </c>
      <c r="AZ6" s="1">
        <v>1.3149999999999999</v>
      </c>
      <c r="BA6" s="1">
        <v>1.3149999999999999</v>
      </c>
      <c r="BB6" s="1">
        <v>1.3129999999999999</v>
      </c>
      <c r="BC6" s="1">
        <v>1.3089999999999999</v>
      </c>
      <c r="BD6" s="1">
        <v>1.3029999999999999</v>
      </c>
      <c r="BE6" s="1">
        <v>1.296</v>
      </c>
      <c r="BF6" s="1">
        <v>1.286</v>
      </c>
      <c r="BG6" s="1">
        <v>1.276</v>
      </c>
      <c r="BH6" s="1">
        <v>1.2649999999999999</v>
      </c>
    </row>
    <row r="7" spans="1:60" x14ac:dyDescent="0.2">
      <c r="A7" s="1" t="s">
        <v>22</v>
      </c>
      <c r="B7" s="1">
        <v>2.31</v>
      </c>
      <c r="C7" s="1">
        <v>2.29</v>
      </c>
      <c r="D7" s="1">
        <v>2.2400000000000002</v>
      </c>
      <c r="E7" s="1">
        <v>2.21</v>
      </c>
      <c r="F7" s="1">
        <v>2.19</v>
      </c>
      <c r="G7" s="1">
        <v>2.09</v>
      </c>
      <c r="H7" s="1">
        <v>2.0299999999999998</v>
      </c>
      <c r="I7" s="1">
        <v>2.02</v>
      </c>
      <c r="J7" s="1">
        <v>2.27</v>
      </c>
      <c r="K7" s="1">
        <v>2.27</v>
      </c>
      <c r="L7" s="1">
        <v>2.17</v>
      </c>
      <c r="M7" s="1">
        <v>2.1</v>
      </c>
      <c r="N7" s="1">
        <v>2.0299999999999998</v>
      </c>
      <c r="O7" s="1">
        <v>2.15</v>
      </c>
      <c r="P7" s="1">
        <v>2.29</v>
      </c>
      <c r="Q7" s="1">
        <v>2.23</v>
      </c>
      <c r="R7" s="1">
        <v>2.2400000000000002</v>
      </c>
      <c r="S7" s="1">
        <v>2.21</v>
      </c>
      <c r="T7" s="1">
        <v>2.15</v>
      </c>
      <c r="U7" s="1">
        <v>2.16</v>
      </c>
      <c r="V7" s="1">
        <v>2.0499999999999998</v>
      </c>
      <c r="W7" s="1">
        <v>2</v>
      </c>
      <c r="X7" s="1">
        <v>2.0099999999999998</v>
      </c>
      <c r="Y7" s="1">
        <v>2.0099999999999998</v>
      </c>
      <c r="Z7" s="1">
        <v>2.0099999999999998</v>
      </c>
      <c r="AA7" s="1">
        <v>1.97</v>
      </c>
      <c r="AB7" s="1">
        <v>2.02</v>
      </c>
      <c r="AC7" s="1">
        <v>1.96</v>
      </c>
      <c r="AD7" s="1">
        <v>1.97</v>
      </c>
      <c r="AE7" s="1">
        <v>1.9</v>
      </c>
      <c r="AF7" s="1">
        <v>1.82</v>
      </c>
      <c r="AG7" s="1">
        <v>1.66</v>
      </c>
      <c r="AH7" s="1">
        <v>1.55</v>
      </c>
      <c r="AI7" s="1">
        <v>1.46</v>
      </c>
      <c r="AJ7" s="1">
        <v>1.37</v>
      </c>
      <c r="AK7" s="1">
        <v>1.23</v>
      </c>
      <c r="AL7" s="1">
        <v>1.23</v>
      </c>
      <c r="AM7" s="1">
        <v>1.0900000000000001</v>
      </c>
      <c r="AN7" s="1">
        <v>1.1100000000000001</v>
      </c>
      <c r="AO7" s="1">
        <v>1.23</v>
      </c>
      <c r="AP7" s="1">
        <v>1.26</v>
      </c>
      <c r="AQ7" s="1">
        <v>1.21</v>
      </c>
      <c r="AR7" s="1">
        <v>1.23</v>
      </c>
      <c r="AS7" s="1">
        <v>1.26</v>
      </c>
      <c r="AT7" s="1">
        <v>1.33</v>
      </c>
      <c r="AU7" s="1">
        <v>1.37</v>
      </c>
      <c r="AV7" s="1">
        <v>1.44</v>
      </c>
      <c r="AW7" s="1">
        <v>1.49</v>
      </c>
      <c r="AX7" s="1">
        <v>1.56</v>
      </c>
      <c r="AY7" s="1">
        <v>1.66</v>
      </c>
      <c r="AZ7" s="1">
        <v>1.57</v>
      </c>
      <c r="BA7" s="1">
        <v>1.51</v>
      </c>
      <c r="BB7" s="1">
        <v>1.5</v>
      </c>
      <c r="BC7" s="1">
        <v>1.48</v>
      </c>
      <c r="BD7" s="1">
        <v>1.53</v>
      </c>
      <c r="BE7" s="1">
        <v>1.53</v>
      </c>
      <c r="BF7" s="1">
        <v>1.54</v>
      </c>
      <c r="BG7" s="1">
        <v>1.56</v>
      </c>
      <c r="BH7" s="1">
        <v>1.56</v>
      </c>
    </row>
    <row r="8" spans="1:60" x14ac:dyDescent="0.2">
      <c r="A8" s="1" t="s">
        <v>12</v>
      </c>
      <c r="B8" s="1">
        <v>2.2879999999999998</v>
      </c>
      <c r="C8" s="1">
        <v>2.2530000000000001</v>
      </c>
      <c r="D8" s="1">
        <v>2.218</v>
      </c>
      <c r="E8" s="1">
        <v>2.1800000000000002</v>
      </c>
      <c r="F8" s="1">
        <v>2.14</v>
      </c>
      <c r="G8" s="1">
        <v>2.1</v>
      </c>
      <c r="H8" s="1">
        <v>2.0619999999999998</v>
      </c>
      <c r="I8" s="1">
        <v>2.0299999999999998</v>
      </c>
      <c r="J8" s="1">
        <v>2.0059999999999998</v>
      </c>
      <c r="K8" s="1">
        <v>1.9890000000000001</v>
      </c>
      <c r="L8" s="1">
        <v>1.9790000000000001</v>
      </c>
      <c r="M8" s="1">
        <v>1.9730000000000001</v>
      </c>
      <c r="N8" s="1">
        <v>1.9670000000000001</v>
      </c>
      <c r="O8" s="1">
        <v>1.96</v>
      </c>
      <c r="P8" s="1">
        <v>1.95</v>
      </c>
      <c r="Q8" s="1">
        <v>1.9370000000000001</v>
      </c>
      <c r="R8" s="1">
        <v>1.925</v>
      </c>
      <c r="S8" s="1">
        <v>1.913</v>
      </c>
      <c r="T8" s="1">
        <v>1.903</v>
      </c>
      <c r="U8" s="1">
        <v>1.895</v>
      </c>
      <c r="V8" s="1">
        <v>1.8879999999999999</v>
      </c>
      <c r="W8" s="1">
        <v>1.879</v>
      </c>
      <c r="X8" s="1">
        <v>1.9</v>
      </c>
      <c r="Y8" s="1">
        <v>1.88</v>
      </c>
      <c r="Z8" s="1">
        <v>1.87</v>
      </c>
      <c r="AA8" s="1">
        <v>1.82</v>
      </c>
      <c r="AB8" s="1">
        <v>1.76</v>
      </c>
      <c r="AC8" s="1">
        <v>1.64</v>
      </c>
      <c r="AD8" s="1">
        <v>1.79</v>
      </c>
      <c r="AE8" s="1">
        <v>1.63</v>
      </c>
      <c r="AF8" s="1">
        <v>1.63</v>
      </c>
      <c r="AG8" s="1">
        <v>1.53</v>
      </c>
      <c r="AH8" s="1">
        <v>1.48</v>
      </c>
      <c r="AI8" s="1">
        <v>1.52</v>
      </c>
      <c r="AJ8" s="1">
        <v>1.47</v>
      </c>
      <c r="AK8" s="1">
        <v>1.58</v>
      </c>
      <c r="AL8" s="1">
        <v>1.67</v>
      </c>
      <c r="AM8" s="1">
        <v>1.69</v>
      </c>
      <c r="AN8" s="1">
        <v>1.45</v>
      </c>
      <c r="AO8" s="1">
        <v>1.38</v>
      </c>
      <c r="AP8" s="1">
        <v>1.39</v>
      </c>
      <c r="AQ8" s="1">
        <v>1.46</v>
      </c>
      <c r="AR8" s="1">
        <v>1.42</v>
      </c>
      <c r="AS8" s="1">
        <v>1.41</v>
      </c>
      <c r="AT8" s="1">
        <v>1.43</v>
      </c>
      <c r="AU8" s="1">
        <v>1.5</v>
      </c>
      <c r="AV8" s="1">
        <v>1.47</v>
      </c>
      <c r="AW8" s="1">
        <v>1.48</v>
      </c>
      <c r="AX8" s="1">
        <v>1.55</v>
      </c>
      <c r="AY8" s="1">
        <v>1.58</v>
      </c>
      <c r="AZ8" s="1">
        <v>1.55</v>
      </c>
      <c r="BA8" s="1">
        <v>1.48</v>
      </c>
      <c r="BB8" s="1">
        <v>1.51</v>
      </c>
      <c r="BC8" s="1">
        <v>1.46</v>
      </c>
      <c r="BD8" s="1">
        <v>1.46</v>
      </c>
      <c r="BE8" s="1">
        <v>1.4</v>
      </c>
      <c r="BF8" s="1">
        <v>1.42</v>
      </c>
      <c r="BG8" s="1">
        <v>1.42</v>
      </c>
      <c r="BH8" s="1">
        <v>1.47</v>
      </c>
    </row>
    <row r="9" spans="1:60" x14ac:dyDescent="0.2">
      <c r="A9" s="1" t="s">
        <v>5</v>
      </c>
      <c r="B9" s="1">
        <v>2.09</v>
      </c>
      <c r="C9" s="1">
        <v>2.11</v>
      </c>
      <c r="D9" s="1">
        <v>2.12</v>
      </c>
      <c r="E9" s="1">
        <v>2.31</v>
      </c>
      <c r="F9" s="1">
        <v>2.34</v>
      </c>
      <c r="G9" s="1">
        <v>2.1800000000000002</v>
      </c>
      <c r="H9" s="1">
        <v>2.02</v>
      </c>
      <c r="I9" s="1">
        <v>1.91</v>
      </c>
      <c r="J9" s="1">
        <v>1.84</v>
      </c>
      <c r="K9" s="1">
        <v>1.87</v>
      </c>
      <c r="L9" s="1">
        <v>1.92</v>
      </c>
      <c r="M9" s="1">
        <v>2</v>
      </c>
      <c r="N9" s="1">
        <v>2.09</v>
      </c>
      <c r="O9" s="1">
        <v>2.31</v>
      </c>
      <c r="P9" s="1">
        <v>2.46</v>
      </c>
      <c r="Q9" s="1">
        <v>2.4300000000000002</v>
      </c>
      <c r="R9" s="1">
        <v>2.39</v>
      </c>
      <c r="S9" s="1">
        <v>2.34</v>
      </c>
      <c r="T9" s="1">
        <v>2.33</v>
      </c>
      <c r="U9" s="1">
        <v>2.27</v>
      </c>
      <c r="V9" s="1">
        <v>2.08</v>
      </c>
      <c r="W9" s="1">
        <v>2</v>
      </c>
      <c r="X9" s="1">
        <v>2</v>
      </c>
      <c r="Y9" s="1">
        <v>1.97</v>
      </c>
      <c r="Z9" s="1">
        <v>1.97</v>
      </c>
      <c r="AA9" s="1">
        <v>1.95</v>
      </c>
      <c r="AB9" s="1">
        <v>1.92</v>
      </c>
      <c r="AC9" s="1">
        <v>1.91</v>
      </c>
      <c r="AD9" s="1">
        <v>1.94</v>
      </c>
      <c r="AE9" s="1">
        <v>1.87</v>
      </c>
      <c r="AF9" s="1">
        <v>1.9</v>
      </c>
      <c r="AG9" s="1">
        <v>1.86</v>
      </c>
      <c r="AH9" s="1">
        <v>1.71</v>
      </c>
      <c r="AI9" s="1">
        <v>1.67</v>
      </c>
      <c r="AJ9" s="1">
        <v>1.44</v>
      </c>
      <c r="AK9" s="1">
        <v>1.28</v>
      </c>
      <c r="AL9" s="1">
        <v>1.18</v>
      </c>
      <c r="AM9" s="1">
        <v>1.17</v>
      </c>
      <c r="AN9" s="1">
        <v>1.1599999999999999</v>
      </c>
      <c r="AO9" s="1">
        <v>1.1299999999999999</v>
      </c>
      <c r="AP9" s="1">
        <v>1.1499999999999999</v>
      </c>
      <c r="AQ9" s="1">
        <v>1.1499999999999999</v>
      </c>
      <c r="AR9" s="1">
        <v>1.17</v>
      </c>
      <c r="AS9" s="1">
        <v>1.18</v>
      </c>
      <c r="AT9" s="1">
        <v>1.23</v>
      </c>
      <c r="AU9" s="1">
        <v>1.29</v>
      </c>
      <c r="AV9" s="1">
        <v>1.34</v>
      </c>
      <c r="AW9" s="1">
        <v>1.45</v>
      </c>
      <c r="AX9" s="1">
        <v>1.51</v>
      </c>
      <c r="AY9" s="1">
        <v>1.51</v>
      </c>
      <c r="AZ9" s="1">
        <v>1.51</v>
      </c>
      <c r="BA9" s="1">
        <v>1.43</v>
      </c>
      <c r="BB9" s="1">
        <v>1.45</v>
      </c>
      <c r="BC9" s="1">
        <v>1.46</v>
      </c>
      <c r="BD9" s="1">
        <v>1.53</v>
      </c>
      <c r="BE9" s="1">
        <v>1.57</v>
      </c>
      <c r="BF9" s="1">
        <v>1.63</v>
      </c>
      <c r="BG9" s="1">
        <v>1.69</v>
      </c>
      <c r="BH9" s="1">
        <v>1.71</v>
      </c>
    </row>
    <row r="10" spans="1:60" x14ac:dyDescent="0.2">
      <c r="A10" s="1" t="s">
        <v>13</v>
      </c>
      <c r="B10" s="1">
        <v>1.98</v>
      </c>
      <c r="C10" s="1">
        <v>1.98</v>
      </c>
      <c r="D10" s="1">
        <v>1.95</v>
      </c>
      <c r="E10" s="1">
        <v>1.89</v>
      </c>
      <c r="F10" s="1">
        <v>1.94</v>
      </c>
      <c r="G10" s="1">
        <v>1.88</v>
      </c>
      <c r="H10" s="1">
        <v>1.87</v>
      </c>
      <c r="I10" s="1">
        <v>1.9</v>
      </c>
      <c r="J10" s="1">
        <v>2.0299999999999998</v>
      </c>
      <c r="K10" s="1">
        <v>2.13</v>
      </c>
      <c r="L10" s="1">
        <v>2.17</v>
      </c>
      <c r="M10" s="1">
        <v>2.19</v>
      </c>
      <c r="N10" s="1">
        <v>2.13</v>
      </c>
      <c r="O10" s="1">
        <v>2.06</v>
      </c>
      <c r="P10" s="1">
        <v>2.0699999999999998</v>
      </c>
      <c r="Q10" s="1">
        <v>2.04</v>
      </c>
      <c r="R10" s="1">
        <v>2.0699999999999998</v>
      </c>
      <c r="S10" s="1">
        <v>2.06</v>
      </c>
      <c r="T10" s="1">
        <v>2.02</v>
      </c>
      <c r="U10" s="1">
        <v>2</v>
      </c>
      <c r="V10" s="1">
        <v>2.02</v>
      </c>
      <c r="W10" s="1">
        <v>2.0699999999999998</v>
      </c>
      <c r="X10" s="1">
        <v>2.0699999999999998</v>
      </c>
      <c r="Y10" s="1">
        <v>2.16</v>
      </c>
      <c r="Z10" s="1">
        <v>2.17</v>
      </c>
      <c r="AA10" s="1">
        <v>2.13</v>
      </c>
      <c r="AB10" s="1">
        <v>2.1800000000000002</v>
      </c>
      <c r="AC10" s="1">
        <v>2.27</v>
      </c>
      <c r="AD10" s="1">
        <v>2.27</v>
      </c>
      <c r="AE10" s="1">
        <v>2.2200000000000002</v>
      </c>
      <c r="AF10" s="1">
        <v>2.0499999999999998</v>
      </c>
      <c r="AG10" s="1">
        <v>1.8</v>
      </c>
      <c r="AH10" s="1">
        <v>1.71</v>
      </c>
      <c r="AI10" s="1">
        <v>1.49</v>
      </c>
      <c r="AJ10" s="1">
        <v>1.42</v>
      </c>
      <c r="AK10" s="1">
        <v>1.38</v>
      </c>
      <c r="AL10" s="1">
        <v>1.37</v>
      </c>
      <c r="AM10" s="1">
        <v>1.32</v>
      </c>
      <c r="AN10" s="1">
        <v>1.28</v>
      </c>
      <c r="AO10" s="1">
        <v>1.3</v>
      </c>
      <c r="AP10" s="1">
        <v>1.36</v>
      </c>
      <c r="AQ10" s="1">
        <v>1.32</v>
      </c>
      <c r="AR10" s="1">
        <v>1.36</v>
      </c>
      <c r="AS10" s="1">
        <v>1.37</v>
      </c>
      <c r="AT10" s="1">
        <v>1.47</v>
      </c>
      <c r="AU10" s="1">
        <v>1.52</v>
      </c>
      <c r="AV10" s="1">
        <v>1.58</v>
      </c>
      <c r="AW10" s="1">
        <v>1.69</v>
      </c>
      <c r="AX10" s="1">
        <v>1.72</v>
      </c>
      <c r="AY10" s="1">
        <v>1.7</v>
      </c>
      <c r="AZ10" s="1">
        <v>1.72</v>
      </c>
      <c r="BA10" s="1">
        <v>1.61</v>
      </c>
      <c r="BB10" s="1">
        <v>1.56</v>
      </c>
      <c r="BC10" s="1">
        <v>1.52</v>
      </c>
      <c r="BD10" s="1">
        <v>1.54</v>
      </c>
      <c r="BE10" s="1">
        <v>1.58</v>
      </c>
      <c r="BF10" s="1">
        <v>1.6</v>
      </c>
      <c r="BG10" s="1">
        <v>1.59</v>
      </c>
      <c r="BH10" s="1">
        <v>1.67</v>
      </c>
    </row>
    <row r="11" spans="1:60" x14ac:dyDescent="0.2">
      <c r="A11" s="1" t="s">
        <v>26</v>
      </c>
      <c r="B11" s="1">
        <v>2.9420000000000002</v>
      </c>
      <c r="C11" s="1">
        <v>2.9430000000000001</v>
      </c>
      <c r="D11" s="1">
        <v>2.9369999999999998</v>
      </c>
      <c r="E11" s="1">
        <v>2.9239999999999999</v>
      </c>
      <c r="F11" s="1">
        <v>2.9060000000000001</v>
      </c>
      <c r="G11" s="1">
        <v>2.8820000000000001</v>
      </c>
      <c r="H11" s="1">
        <v>2.8540000000000001</v>
      </c>
      <c r="I11" s="1">
        <v>2.8210000000000002</v>
      </c>
      <c r="J11" s="1">
        <v>2.7850000000000001</v>
      </c>
      <c r="K11" s="1">
        <v>2.7469999999999999</v>
      </c>
      <c r="L11" s="1">
        <v>2.7069999999999999</v>
      </c>
      <c r="M11" s="1">
        <v>2.665</v>
      </c>
      <c r="N11" s="1">
        <v>2.6219999999999999</v>
      </c>
      <c r="O11" s="1">
        <v>2.577</v>
      </c>
      <c r="P11" s="1">
        <v>2.5329999999999999</v>
      </c>
      <c r="Q11" s="1">
        <v>2.4889999999999999</v>
      </c>
      <c r="R11" s="1">
        <v>2.448</v>
      </c>
      <c r="S11" s="1">
        <v>2.4089999999999998</v>
      </c>
      <c r="T11" s="1">
        <v>2.3730000000000002</v>
      </c>
      <c r="U11" s="1">
        <v>2.3410000000000002</v>
      </c>
      <c r="V11" s="1">
        <v>2.3140000000000001</v>
      </c>
      <c r="W11" s="1">
        <v>2.2959999999999998</v>
      </c>
      <c r="X11" s="1">
        <v>2.2839999999999998</v>
      </c>
      <c r="Y11" s="1">
        <v>2.2770000000000001</v>
      </c>
      <c r="Z11" s="1">
        <v>2.2749999999999999</v>
      </c>
      <c r="AA11" s="1">
        <v>2.2730000000000001</v>
      </c>
      <c r="AB11" s="1">
        <v>2.2690000000000001</v>
      </c>
      <c r="AC11" s="1">
        <v>2.2599999999999998</v>
      </c>
      <c r="AD11" s="1">
        <v>2.2429999999999999</v>
      </c>
      <c r="AE11" s="1">
        <v>2.2170000000000001</v>
      </c>
      <c r="AF11" s="1">
        <v>2.1800000000000002</v>
      </c>
      <c r="AG11" s="1">
        <v>2.1320000000000001</v>
      </c>
      <c r="AH11" s="1">
        <v>2.0760000000000001</v>
      </c>
      <c r="AI11" s="1">
        <v>2.0129999999999999</v>
      </c>
      <c r="AJ11" s="1">
        <v>1.946</v>
      </c>
      <c r="AK11" s="1">
        <v>1.879</v>
      </c>
      <c r="AL11" s="1">
        <v>1.8120000000000001</v>
      </c>
      <c r="AM11" s="1">
        <v>1.7490000000000001</v>
      </c>
      <c r="AN11" s="1">
        <v>1.6919999999999999</v>
      </c>
      <c r="AO11" s="1">
        <v>1.643</v>
      </c>
      <c r="AP11" s="1">
        <v>1.6080000000000001</v>
      </c>
      <c r="AQ11" s="1">
        <v>1.589</v>
      </c>
      <c r="AR11" s="1">
        <v>1.5860000000000001</v>
      </c>
      <c r="AS11" s="1">
        <v>1.599</v>
      </c>
      <c r="AT11" s="1">
        <v>1.625</v>
      </c>
      <c r="AU11" s="1">
        <v>1.6639999999999999</v>
      </c>
      <c r="AV11" s="1">
        <v>1.7110000000000001</v>
      </c>
      <c r="AW11" s="1">
        <v>1.7629999999999999</v>
      </c>
      <c r="AX11" s="1">
        <v>1.8160000000000001</v>
      </c>
      <c r="AY11" s="1">
        <v>1.8660000000000001</v>
      </c>
      <c r="AZ11" s="1">
        <v>1.911</v>
      </c>
      <c r="BA11" s="1">
        <v>1.95</v>
      </c>
      <c r="BB11" s="1">
        <v>1.984</v>
      </c>
      <c r="BC11" s="1">
        <v>2.012</v>
      </c>
      <c r="BD11" s="1">
        <v>2.0339999999999998</v>
      </c>
      <c r="BE11" s="1">
        <v>2.0499999999999998</v>
      </c>
      <c r="BF11" s="1">
        <v>2.0590000000000002</v>
      </c>
      <c r="BG11" s="1">
        <v>2.0619999999999998</v>
      </c>
      <c r="BH11" s="1">
        <v>2.06</v>
      </c>
    </row>
    <row r="12" spans="1:60" x14ac:dyDescent="0.2">
      <c r="A12" s="1" t="s">
        <v>9</v>
      </c>
      <c r="B12" s="1">
        <v>2.02</v>
      </c>
      <c r="C12" s="1">
        <v>1.94</v>
      </c>
      <c r="D12" s="1">
        <v>1.79</v>
      </c>
      <c r="E12" s="1">
        <v>1.82</v>
      </c>
      <c r="F12" s="1">
        <v>1.82</v>
      </c>
      <c r="G12" s="1">
        <v>1.82</v>
      </c>
      <c r="H12" s="1">
        <v>1.89</v>
      </c>
      <c r="I12" s="1">
        <v>2.0099999999999998</v>
      </c>
      <c r="J12" s="1">
        <v>2.06</v>
      </c>
      <c r="K12" s="1">
        <v>2.04</v>
      </c>
      <c r="L12" s="1">
        <v>1.98</v>
      </c>
      <c r="M12" s="1">
        <v>1.93</v>
      </c>
      <c r="N12" s="1">
        <v>1.93</v>
      </c>
      <c r="O12" s="1">
        <v>1.93</v>
      </c>
      <c r="P12" s="1">
        <v>2.27</v>
      </c>
      <c r="Q12" s="1">
        <v>2.35</v>
      </c>
      <c r="R12" s="1">
        <v>2.23</v>
      </c>
      <c r="S12" s="1">
        <v>2.15</v>
      </c>
      <c r="T12" s="1">
        <v>2.06</v>
      </c>
      <c r="U12" s="1">
        <v>2.0099999999999998</v>
      </c>
      <c r="V12" s="1">
        <v>1.91</v>
      </c>
      <c r="W12" s="1">
        <v>1.88</v>
      </c>
      <c r="X12" s="1">
        <v>1.8</v>
      </c>
      <c r="Y12" s="1">
        <v>1.75</v>
      </c>
      <c r="Z12" s="1">
        <v>1.75</v>
      </c>
      <c r="AA12" s="1">
        <v>1.85</v>
      </c>
      <c r="AB12" s="1">
        <v>1.84</v>
      </c>
      <c r="AC12" s="1">
        <v>1.82</v>
      </c>
      <c r="AD12" s="1">
        <v>1.81</v>
      </c>
      <c r="AE12" s="1">
        <v>1.82</v>
      </c>
      <c r="AF12" s="1">
        <v>1.87</v>
      </c>
      <c r="AG12" s="1">
        <v>1.87</v>
      </c>
      <c r="AH12" s="1">
        <v>1.77</v>
      </c>
      <c r="AI12" s="1">
        <v>1.68</v>
      </c>
      <c r="AJ12" s="1">
        <v>1.64</v>
      </c>
      <c r="AK12" s="1">
        <v>1.57</v>
      </c>
      <c r="AL12" s="1">
        <v>1.46</v>
      </c>
      <c r="AM12" s="1">
        <v>1.37</v>
      </c>
      <c r="AN12" s="1">
        <v>1.32</v>
      </c>
      <c r="AO12" s="1">
        <v>1.28</v>
      </c>
      <c r="AP12" s="1">
        <v>1.32</v>
      </c>
      <c r="AQ12" s="1">
        <v>1.31</v>
      </c>
      <c r="AR12" s="1">
        <v>1.3</v>
      </c>
      <c r="AS12" s="1">
        <v>1.27</v>
      </c>
      <c r="AT12" s="1">
        <v>1.28</v>
      </c>
      <c r="AU12" s="1">
        <v>1.31</v>
      </c>
      <c r="AV12" s="1">
        <v>1.34</v>
      </c>
      <c r="AW12" s="1">
        <v>1.32</v>
      </c>
      <c r="AX12" s="1">
        <v>1.35</v>
      </c>
      <c r="AY12" s="1">
        <v>1.32</v>
      </c>
      <c r="AZ12" s="1">
        <v>1.25</v>
      </c>
      <c r="BA12" s="1">
        <v>1.23</v>
      </c>
      <c r="BB12" s="1">
        <v>1.34</v>
      </c>
      <c r="BC12" s="1">
        <v>1.35</v>
      </c>
      <c r="BD12" s="1">
        <v>1.44</v>
      </c>
      <c r="BE12" s="1">
        <v>1.45</v>
      </c>
      <c r="BF12" s="1">
        <v>1.53</v>
      </c>
      <c r="BG12" s="1">
        <v>1.54</v>
      </c>
      <c r="BH12" s="1">
        <v>1.55</v>
      </c>
    </row>
    <row r="13" spans="1:60" x14ac:dyDescent="0.2">
      <c r="A13" s="1" t="s">
        <v>7</v>
      </c>
      <c r="B13" s="1">
        <v>4.5620000000000003</v>
      </c>
      <c r="C13" s="1">
        <v>4.5119999999999996</v>
      </c>
      <c r="D13" s="1">
        <v>4.4320000000000004</v>
      </c>
      <c r="E13" s="1">
        <v>4.3230000000000004</v>
      </c>
      <c r="F13" s="1">
        <v>4.1909999999999998</v>
      </c>
      <c r="G13" s="1">
        <v>4.048</v>
      </c>
      <c r="H13" s="1">
        <v>3.9119999999999999</v>
      </c>
      <c r="I13" s="1">
        <v>3.7949999999999999</v>
      </c>
      <c r="J13" s="1">
        <v>3.7050000000000001</v>
      </c>
      <c r="K13" s="1">
        <v>3.6459999999999999</v>
      </c>
      <c r="L13" s="1">
        <v>3.6110000000000002</v>
      </c>
      <c r="M13" s="1">
        <v>3.59</v>
      </c>
      <c r="N13" s="1">
        <v>3.569</v>
      </c>
      <c r="O13" s="1">
        <v>3.536</v>
      </c>
      <c r="P13" s="1">
        <v>3.488</v>
      </c>
      <c r="Q13" s="1">
        <v>3.427</v>
      </c>
      <c r="R13" s="1">
        <v>3.355</v>
      </c>
      <c r="S13" s="1">
        <v>3.2829999999999999</v>
      </c>
      <c r="T13" s="1">
        <v>3.2160000000000002</v>
      </c>
      <c r="U13" s="1">
        <v>3.0190000000000001</v>
      </c>
      <c r="V13" s="1">
        <v>2.9</v>
      </c>
      <c r="W13" s="1">
        <v>2.95</v>
      </c>
      <c r="X13" s="1">
        <v>3</v>
      </c>
      <c r="Y13" s="1">
        <v>3.04</v>
      </c>
      <c r="Z13" s="1">
        <v>3.08</v>
      </c>
      <c r="AA13" s="1">
        <v>3.08</v>
      </c>
      <c r="AB13" s="1">
        <v>3.1349999999999998</v>
      </c>
      <c r="AC13" s="1">
        <v>3.19</v>
      </c>
      <c r="AD13" s="1">
        <v>3.13</v>
      </c>
      <c r="AE13" s="1">
        <v>2.82</v>
      </c>
      <c r="AF13" s="1">
        <v>2.72</v>
      </c>
      <c r="AG13" s="1">
        <v>2.61</v>
      </c>
      <c r="AH13" s="1">
        <v>2.5</v>
      </c>
      <c r="AI13" s="1">
        <v>2.2999999999999998</v>
      </c>
      <c r="AJ13" s="1">
        <v>2.2799999999999998</v>
      </c>
      <c r="AK13" s="1">
        <v>2.2599999999999998</v>
      </c>
      <c r="AL13" s="1">
        <v>2.13</v>
      </c>
      <c r="AM13" s="1">
        <v>2</v>
      </c>
      <c r="AN13" s="1">
        <v>1.8</v>
      </c>
      <c r="AO13" s="1">
        <v>1.7</v>
      </c>
      <c r="AP13" s="1">
        <v>1.8</v>
      </c>
      <c r="AQ13" s="1">
        <v>1.9</v>
      </c>
      <c r="AR13" s="1">
        <v>2</v>
      </c>
      <c r="AS13" s="1">
        <v>2.0299999999999998</v>
      </c>
      <c r="AT13" s="1">
        <v>2.21</v>
      </c>
      <c r="AU13" s="1">
        <v>2.2200000000000002</v>
      </c>
      <c r="AV13" s="1">
        <v>2.36</v>
      </c>
      <c r="AW13" s="1">
        <v>2.5</v>
      </c>
      <c r="AX13" s="1">
        <v>2.7</v>
      </c>
      <c r="AY13" s="1">
        <v>2.5499999999999998</v>
      </c>
      <c r="AZ13" s="1">
        <v>2.6</v>
      </c>
      <c r="BA13" s="1">
        <v>2.59</v>
      </c>
      <c r="BB13" s="1">
        <v>2.62</v>
      </c>
      <c r="BC13" s="1">
        <v>2.64</v>
      </c>
      <c r="BD13" s="1">
        <v>2.74</v>
      </c>
      <c r="BE13" s="1">
        <v>2.73</v>
      </c>
      <c r="BF13" s="1">
        <v>2.73</v>
      </c>
      <c r="BG13" s="1">
        <v>2.73</v>
      </c>
      <c r="BH13" s="1">
        <v>2.84</v>
      </c>
    </row>
    <row r="14" spans="1:60" x14ac:dyDescent="0.2">
      <c r="A14" s="1" t="s">
        <v>10</v>
      </c>
      <c r="W14" s="1">
        <v>4.58</v>
      </c>
      <c r="X14" s="1">
        <v>4.88</v>
      </c>
      <c r="Y14" s="1">
        <v>4.4800000000000004</v>
      </c>
      <c r="Z14" s="1">
        <v>4.82</v>
      </c>
      <c r="AA14" s="1">
        <v>4.5599999999999996</v>
      </c>
      <c r="AB14" s="1">
        <v>4.47</v>
      </c>
      <c r="AC14" s="1">
        <v>4.43</v>
      </c>
      <c r="AD14" s="1">
        <v>4.26</v>
      </c>
      <c r="AE14" s="1">
        <v>3.92</v>
      </c>
      <c r="AF14" s="1">
        <v>3.9</v>
      </c>
      <c r="AG14" s="1">
        <v>3.58</v>
      </c>
      <c r="AH14" s="1">
        <v>2.96</v>
      </c>
      <c r="AI14" s="1">
        <v>2.84</v>
      </c>
      <c r="AJ14" s="1">
        <v>2.71</v>
      </c>
      <c r="AK14" s="1">
        <v>2.7</v>
      </c>
      <c r="AL14" s="1">
        <v>2.7</v>
      </c>
      <c r="AM14" s="1">
        <v>2.46</v>
      </c>
      <c r="AN14" s="1">
        <v>2.57</v>
      </c>
      <c r="AO14" s="1">
        <v>2.88</v>
      </c>
      <c r="AP14" s="1">
        <v>2.95</v>
      </c>
      <c r="AQ14" s="1">
        <v>2.8</v>
      </c>
      <c r="AR14" s="1">
        <v>2.66</v>
      </c>
      <c r="AS14" s="1">
        <v>2.34</v>
      </c>
      <c r="AT14" s="1">
        <v>2.5299999999999998</v>
      </c>
      <c r="AU14" s="1">
        <v>2.65</v>
      </c>
      <c r="AV14" s="1">
        <v>2.4300000000000002</v>
      </c>
      <c r="AW14" s="1">
        <v>2.4300000000000002</v>
      </c>
      <c r="AX14" s="1">
        <v>2.38</v>
      </c>
      <c r="AY14" s="1">
        <v>2.34</v>
      </c>
      <c r="AZ14" s="1">
        <v>2.29</v>
      </c>
      <c r="BA14" s="1">
        <v>2.2400000000000002</v>
      </c>
      <c r="BB14" s="1">
        <v>2.19</v>
      </c>
      <c r="BC14" s="1">
        <v>2.16</v>
      </c>
      <c r="BD14" s="1">
        <v>2.13</v>
      </c>
      <c r="BE14" s="1">
        <v>2.09</v>
      </c>
      <c r="BF14" s="1">
        <v>2.06</v>
      </c>
      <c r="BG14" s="1">
        <v>2.02</v>
      </c>
      <c r="BH14" s="1">
        <v>2</v>
      </c>
    </row>
    <row r="15" spans="1:60" x14ac:dyDescent="0.2">
      <c r="A15" s="1" t="s">
        <v>54</v>
      </c>
      <c r="B15" s="1">
        <v>5.4690000000000003</v>
      </c>
      <c r="C15" s="1">
        <v>5.516</v>
      </c>
      <c r="D15" s="1">
        <v>5.532</v>
      </c>
      <c r="E15" s="1">
        <v>5.5170000000000003</v>
      </c>
      <c r="F15" s="1">
        <v>5.4749999999999996</v>
      </c>
      <c r="G15" s="1">
        <v>5.4169999999999998</v>
      </c>
      <c r="H15" s="1">
        <v>5.3540000000000001</v>
      </c>
      <c r="I15" s="1">
        <v>5.2949999999999999</v>
      </c>
      <c r="J15" s="1">
        <v>5.2450000000000001</v>
      </c>
      <c r="K15" s="1">
        <v>5.2069999999999999</v>
      </c>
      <c r="L15" s="1">
        <v>5.1769999999999996</v>
      </c>
      <c r="M15" s="1">
        <v>5.1470000000000002</v>
      </c>
      <c r="N15" s="1">
        <v>5.1050000000000004</v>
      </c>
      <c r="O15" s="1">
        <v>5.0469999999999997</v>
      </c>
      <c r="P15" s="1">
        <v>4.97</v>
      </c>
      <c r="Q15" s="1">
        <v>4.8760000000000003</v>
      </c>
      <c r="R15" s="1">
        <v>4.7699999999999996</v>
      </c>
      <c r="S15" s="1">
        <v>4.66</v>
      </c>
      <c r="T15" s="1">
        <v>4.5529999999999999</v>
      </c>
      <c r="U15" s="1">
        <v>4.4539999999999997</v>
      </c>
      <c r="V15" s="1">
        <v>4.367</v>
      </c>
      <c r="W15" s="1">
        <v>4.2960000000000003</v>
      </c>
      <c r="X15" s="1">
        <v>4.24</v>
      </c>
      <c r="Y15" s="1">
        <v>4.1950000000000003</v>
      </c>
      <c r="Z15" s="1">
        <v>4.16</v>
      </c>
      <c r="AA15" s="1">
        <v>4.13</v>
      </c>
      <c r="AB15" s="1">
        <v>4.0999999999999996</v>
      </c>
      <c r="AC15" s="1">
        <v>4.0650000000000004</v>
      </c>
      <c r="AD15" s="1">
        <v>4.0199999999999996</v>
      </c>
      <c r="AE15" s="1">
        <v>3.875</v>
      </c>
      <c r="AF15" s="1">
        <v>3.63</v>
      </c>
      <c r="AG15" s="1">
        <v>3.58</v>
      </c>
      <c r="AH15" s="1">
        <v>3.52</v>
      </c>
      <c r="AI15" s="1">
        <v>3.2</v>
      </c>
      <c r="AJ15" s="1">
        <v>2.9</v>
      </c>
      <c r="AK15" s="1">
        <v>3.1</v>
      </c>
      <c r="AL15" s="1">
        <v>2.8</v>
      </c>
      <c r="AM15" s="1">
        <v>2.6</v>
      </c>
      <c r="AN15" s="1">
        <v>2.7</v>
      </c>
      <c r="AO15" s="1">
        <v>2.6</v>
      </c>
      <c r="AP15" s="1">
        <v>2.4</v>
      </c>
      <c r="AQ15" s="1">
        <v>2.4</v>
      </c>
      <c r="AR15" s="1">
        <v>2.4</v>
      </c>
      <c r="AS15" s="1">
        <v>2.5</v>
      </c>
      <c r="AT15" s="1">
        <v>2.6</v>
      </c>
      <c r="AU15" s="1">
        <v>2.5</v>
      </c>
      <c r="AV15" s="1">
        <v>2.7</v>
      </c>
      <c r="AW15" s="1">
        <v>2.7</v>
      </c>
      <c r="AX15" s="1">
        <v>2.8</v>
      </c>
      <c r="AY15" s="1">
        <v>2.9</v>
      </c>
      <c r="AZ15" s="1">
        <v>3.1</v>
      </c>
      <c r="BA15" s="1">
        <v>3.1</v>
      </c>
      <c r="BB15" s="1">
        <v>3.2</v>
      </c>
      <c r="BC15" s="1">
        <v>3.1</v>
      </c>
      <c r="BD15" s="1">
        <v>3.2</v>
      </c>
      <c r="BE15" s="1">
        <v>3.2</v>
      </c>
      <c r="BF15" s="1">
        <v>3.1</v>
      </c>
      <c r="BG15" s="1">
        <v>3</v>
      </c>
      <c r="BH15" s="1">
        <v>3.3</v>
      </c>
    </row>
    <row r="16" spans="1:60" x14ac:dyDescent="0.2">
      <c r="A16" s="1" t="s">
        <v>20</v>
      </c>
      <c r="B16" s="1">
        <v>1.94</v>
      </c>
      <c r="C16" s="1">
        <v>1.94</v>
      </c>
      <c r="D16" s="1">
        <v>1.91</v>
      </c>
      <c r="E16" s="1">
        <v>1.85</v>
      </c>
      <c r="F16" s="1">
        <v>1.79</v>
      </c>
      <c r="G16" s="1">
        <v>1.74</v>
      </c>
      <c r="H16" s="1">
        <v>1.76</v>
      </c>
      <c r="I16" s="1">
        <v>1.8</v>
      </c>
      <c r="J16" s="1">
        <v>1.83</v>
      </c>
      <c r="K16" s="1">
        <v>1.88</v>
      </c>
      <c r="L16" s="1">
        <v>1.96</v>
      </c>
      <c r="M16" s="1">
        <v>2</v>
      </c>
      <c r="N16" s="1">
        <v>2</v>
      </c>
      <c r="O16" s="1">
        <v>1.98</v>
      </c>
      <c r="P16" s="1">
        <v>1.97</v>
      </c>
      <c r="Q16" s="1">
        <v>1.96</v>
      </c>
      <c r="R16" s="1">
        <v>1.93</v>
      </c>
      <c r="S16" s="1">
        <v>1.89</v>
      </c>
      <c r="T16" s="1">
        <v>1.87</v>
      </c>
      <c r="U16" s="1">
        <v>1.87</v>
      </c>
      <c r="V16" s="1">
        <v>1.86</v>
      </c>
      <c r="W16" s="1">
        <v>1.88</v>
      </c>
      <c r="X16" s="1">
        <v>1.97</v>
      </c>
      <c r="Y16" s="1">
        <v>2.0699999999999998</v>
      </c>
      <c r="Z16" s="1">
        <v>2.09</v>
      </c>
      <c r="AA16" s="1">
        <v>2.08</v>
      </c>
      <c r="AB16" s="1">
        <v>2.12</v>
      </c>
      <c r="AC16" s="1">
        <v>2.15</v>
      </c>
      <c r="AD16" s="1">
        <v>2.11</v>
      </c>
      <c r="AE16" s="1">
        <v>2.0499999999999998</v>
      </c>
      <c r="AF16" s="1">
        <v>2.02</v>
      </c>
      <c r="AG16" s="1">
        <v>1.86</v>
      </c>
      <c r="AH16" s="1">
        <v>1.73</v>
      </c>
      <c r="AI16" s="1">
        <v>1.51</v>
      </c>
      <c r="AJ16" s="1">
        <v>1.39</v>
      </c>
      <c r="AK16" s="1">
        <v>1.25</v>
      </c>
      <c r="AL16" s="1">
        <v>1.1599999999999999</v>
      </c>
      <c r="AM16" s="1">
        <v>1.1100000000000001</v>
      </c>
      <c r="AN16" s="1">
        <v>1.0900000000000001</v>
      </c>
      <c r="AO16" s="1">
        <v>1.1599999999999999</v>
      </c>
      <c r="AP16" s="1">
        <v>1.25</v>
      </c>
      <c r="AQ16" s="1">
        <v>1.22</v>
      </c>
      <c r="AR16" s="1">
        <v>1.26</v>
      </c>
      <c r="AS16" s="1">
        <v>1.32</v>
      </c>
      <c r="AT16" s="1">
        <v>1.29</v>
      </c>
      <c r="AU16" s="1">
        <v>1.39</v>
      </c>
      <c r="AV16" s="1">
        <v>1.46</v>
      </c>
      <c r="AW16" s="1">
        <v>1.54</v>
      </c>
      <c r="AX16" s="1">
        <v>1.58</v>
      </c>
      <c r="AY16" s="1">
        <v>1.46</v>
      </c>
      <c r="AZ16" s="1">
        <v>1.36</v>
      </c>
      <c r="BA16" s="1">
        <v>1.33</v>
      </c>
      <c r="BB16" s="1">
        <v>1.44</v>
      </c>
      <c r="BC16" s="1">
        <v>1.52</v>
      </c>
      <c r="BD16" s="1">
        <v>1.65</v>
      </c>
      <c r="BE16" s="1">
        <v>1.7</v>
      </c>
      <c r="BF16" s="1">
        <v>1.74</v>
      </c>
      <c r="BG16" s="1">
        <v>1.69</v>
      </c>
      <c r="BH16" s="1">
        <v>1.6</v>
      </c>
    </row>
    <row r="17" spans="1:60" x14ac:dyDescent="0.2">
      <c r="A17" s="1" t="s">
        <v>21</v>
      </c>
      <c r="B17" s="1">
        <v>2.56</v>
      </c>
      <c r="C17" s="1">
        <v>2.5299999999999998</v>
      </c>
      <c r="D17" s="1">
        <v>2.4500000000000002</v>
      </c>
      <c r="E17" s="1">
        <v>2.35</v>
      </c>
      <c r="F17" s="1">
        <v>2.2799999999999998</v>
      </c>
      <c r="G17" s="1">
        <v>2.23</v>
      </c>
      <c r="H17" s="1">
        <v>2.2200000000000002</v>
      </c>
      <c r="I17" s="1">
        <v>2.23</v>
      </c>
      <c r="J17" s="1">
        <v>2.2400000000000002</v>
      </c>
      <c r="K17" s="1">
        <v>2.2999999999999998</v>
      </c>
      <c r="L17" s="1">
        <v>2.4</v>
      </c>
      <c r="M17" s="1">
        <v>2.41</v>
      </c>
      <c r="N17" s="1">
        <v>2.34</v>
      </c>
      <c r="O17" s="1">
        <v>2.2200000000000002</v>
      </c>
      <c r="P17" s="1">
        <v>2.21</v>
      </c>
      <c r="Q17" s="1">
        <v>2.1800000000000002</v>
      </c>
      <c r="R17" s="1">
        <v>2.1800000000000002</v>
      </c>
      <c r="S17" s="1">
        <v>2.14</v>
      </c>
      <c r="T17" s="1">
        <v>2.08</v>
      </c>
      <c r="U17" s="1">
        <v>2.0499999999999998</v>
      </c>
      <c r="V17" s="1">
        <v>1.99</v>
      </c>
      <c r="W17" s="1">
        <v>1.98</v>
      </c>
      <c r="X17" s="1">
        <v>1.97</v>
      </c>
      <c r="Y17" s="1">
        <v>2.1</v>
      </c>
      <c r="Z17" s="1">
        <v>2.0699999999999998</v>
      </c>
      <c r="AA17" s="1">
        <v>2.08</v>
      </c>
      <c r="AB17" s="1">
        <v>2.12</v>
      </c>
      <c r="AC17" s="1">
        <v>2.11</v>
      </c>
      <c r="AD17" s="1">
        <v>2.02</v>
      </c>
      <c r="AE17" s="1">
        <v>1.98</v>
      </c>
      <c r="AF17" s="1">
        <v>2.0299999999999998</v>
      </c>
      <c r="AG17" s="1">
        <v>2.0099999999999998</v>
      </c>
      <c r="AH17" s="1">
        <v>1.97</v>
      </c>
      <c r="AI17" s="1">
        <v>1.74</v>
      </c>
      <c r="AJ17" s="1">
        <v>1.57</v>
      </c>
      <c r="AK17" s="1">
        <v>1.55</v>
      </c>
      <c r="AL17" s="1">
        <v>1.49</v>
      </c>
      <c r="AM17" s="1">
        <v>1.47</v>
      </c>
      <c r="AN17" s="1">
        <v>1.46</v>
      </c>
      <c r="AO17" s="1">
        <v>1.46</v>
      </c>
      <c r="AP17" s="1">
        <v>1.39</v>
      </c>
      <c r="AQ17" s="1">
        <v>1.29</v>
      </c>
      <c r="AR17" s="1">
        <v>1.23</v>
      </c>
      <c r="AS17" s="1">
        <v>1.26</v>
      </c>
      <c r="AT17" s="1">
        <v>1.27</v>
      </c>
      <c r="AU17" s="1">
        <v>1.29</v>
      </c>
      <c r="AV17" s="1">
        <v>1.33</v>
      </c>
      <c r="AW17" s="1">
        <v>1.36</v>
      </c>
      <c r="AX17" s="1">
        <v>1.45</v>
      </c>
      <c r="AY17" s="1">
        <v>1.5</v>
      </c>
      <c r="AZ17" s="1">
        <v>1.5</v>
      </c>
      <c r="BA17" s="1">
        <v>1.55</v>
      </c>
      <c r="BB17" s="1">
        <v>1.6</v>
      </c>
      <c r="BC17" s="1">
        <v>1.59</v>
      </c>
      <c r="BD17" s="1">
        <v>1.63</v>
      </c>
      <c r="BE17" s="1">
        <v>1.7</v>
      </c>
      <c r="BF17" s="1">
        <v>1.69</v>
      </c>
      <c r="BG17" s="1">
        <v>1.63</v>
      </c>
      <c r="BH17" s="1">
        <v>1.63</v>
      </c>
    </row>
    <row r="18" spans="1:60" x14ac:dyDescent="0.2">
      <c r="A18" s="1" t="s">
        <v>16</v>
      </c>
      <c r="B18" s="1">
        <v>3.3279999999999998</v>
      </c>
      <c r="C18" s="1">
        <v>3.2589999999999999</v>
      </c>
      <c r="D18" s="1">
        <v>3.1779999999999999</v>
      </c>
      <c r="E18" s="1">
        <v>3.0859999999999999</v>
      </c>
      <c r="F18" s="1">
        <v>2.9889999999999999</v>
      </c>
      <c r="G18" s="1">
        <v>2.891</v>
      </c>
      <c r="H18" s="1">
        <v>2.8010000000000002</v>
      </c>
      <c r="I18" s="1">
        <v>2.722</v>
      </c>
      <c r="J18" s="1">
        <v>2.66</v>
      </c>
      <c r="K18" s="1">
        <v>2.613</v>
      </c>
      <c r="L18" s="1">
        <v>2.5819999999999999</v>
      </c>
      <c r="M18" s="1">
        <v>2.56</v>
      </c>
      <c r="N18" s="1">
        <v>2.5419999999999998</v>
      </c>
      <c r="O18" s="1">
        <v>2.5230000000000001</v>
      </c>
      <c r="P18" s="1">
        <v>2.5030000000000001</v>
      </c>
      <c r="Q18" s="1">
        <v>2.4830000000000001</v>
      </c>
      <c r="R18" s="1">
        <v>2.4649999999999999</v>
      </c>
      <c r="S18" s="1">
        <v>2.4550000000000001</v>
      </c>
      <c r="T18" s="1">
        <v>2.4540000000000002</v>
      </c>
      <c r="U18" s="1">
        <v>2.4620000000000002</v>
      </c>
      <c r="V18" s="1">
        <v>2.4809999999999999</v>
      </c>
      <c r="W18" s="1">
        <v>2.5099999999999998</v>
      </c>
      <c r="X18" s="1">
        <v>2.5459999999999998</v>
      </c>
      <c r="Y18" s="1">
        <v>2.585</v>
      </c>
      <c r="Z18" s="1">
        <v>2.62</v>
      </c>
      <c r="AA18" s="1">
        <v>2.6429999999999998</v>
      </c>
      <c r="AB18" s="1">
        <v>2.6459999999999999</v>
      </c>
      <c r="AC18" s="1">
        <v>2.625</v>
      </c>
      <c r="AD18" s="1">
        <v>2.5779999999999998</v>
      </c>
      <c r="AE18" s="1">
        <v>2.5059999999999998</v>
      </c>
      <c r="AF18" s="1">
        <v>2.4140000000000001</v>
      </c>
      <c r="AG18" s="1">
        <v>2.3090000000000002</v>
      </c>
      <c r="AH18" s="1">
        <v>2.1989999999999998</v>
      </c>
      <c r="AI18" s="1">
        <v>2.093</v>
      </c>
      <c r="AJ18" s="1">
        <v>1.994</v>
      </c>
      <c r="AK18" s="1">
        <v>1.901</v>
      </c>
      <c r="AL18" s="1">
        <v>1.8109999999999999</v>
      </c>
      <c r="AM18" s="1">
        <v>1.7190000000000001</v>
      </c>
      <c r="AN18" s="1">
        <v>1.623</v>
      </c>
      <c r="AO18" s="1">
        <v>1.5269999999999999</v>
      </c>
      <c r="AP18" s="1">
        <v>1.4350000000000001</v>
      </c>
      <c r="AQ18" s="1">
        <v>1.3540000000000001</v>
      </c>
      <c r="AR18" s="1">
        <v>1.29</v>
      </c>
      <c r="AS18" s="1">
        <v>1.2470000000000001</v>
      </c>
      <c r="AT18" s="1">
        <v>1.224</v>
      </c>
      <c r="AU18" s="1">
        <v>1.2190000000000001</v>
      </c>
      <c r="AV18" s="1">
        <v>1.2270000000000001</v>
      </c>
      <c r="AW18" s="1">
        <v>1.2410000000000001</v>
      </c>
      <c r="AX18" s="1">
        <v>1.256</v>
      </c>
      <c r="AY18" s="1">
        <v>1.268</v>
      </c>
      <c r="AZ18" s="1">
        <v>1.2749999999999999</v>
      </c>
      <c r="BA18" s="1">
        <v>1.276</v>
      </c>
      <c r="BB18" s="1">
        <v>1.2729999999999999</v>
      </c>
      <c r="BC18" s="1">
        <v>1.27</v>
      </c>
      <c r="BD18" s="1">
        <v>1.2649999999999999</v>
      </c>
      <c r="BE18" s="1">
        <v>1.2609999999999999</v>
      </c>
      <c r="BF18" s="1">
        <v>1.2589999999999999</v>
      </c>
      <c r="BG18" s="1">
        <v>1.2589999999999999</v>
      </c>
      <c r="BH18" s="1">
        <v>1.262</v>
      </c>
    </row>
    <row r="19" spans="1:60" x14ac:dyDescent="0.2">
      <c r="A19" s="1" t="s">
        <v>24</v>
      </c>
      <c r="B19" s="1">
        <v>3.6030000000000002</v>
      </c>
      <c r="C19" s="1">
        <v>3.5219999999999998</v>
      </c>
      <c r="D19" s="1">
        <v>3.4359999999999999</v>
      </c>
      <c r="E19" s="1">
        <v>3.3439999999999999</v>
      </c>
      <c r="F19" s="1">
        <v>3.246</v>
      </c>
      <c r="G19" s="1">
        <v>3.145</v>
      </c>
      <c r="H19" s="1">
        <v>3.0459999999999998</v>
      </c>
      <c r="I19" s="1">
        <v>2.9529999999999998</v>
      </c>
      <c r="J19" s="1">
        <v>2.871</v>
      </c>
      <c r="K19" s="1">
        <v>2.8</v>
      </c>
      <c r="L19" s="1">
        <v>2.7370000000000001</v>
      </c>
      <c r="M19" s="1">
        <v>2.68</v>
      </c>
      <c r="N19" s="1">
        <v>2.6240000000000001</v>
      </c>
      <c r="O19" s="1">
        <v>2.5670000000000002</v>
      </c>
      <c r="P19" s="1">
        <v>2.5070000000000001</v>
      </c>
      <c r="Q19" s="1">
        <v>2.4470000000000001</v>
      </c>
      <c r="R19" s="1">
        <v>2.391</v>
      </c>
      <c r="S19" s="1">
        <v>2.3410000000000002</v>
      </c>
      <c r="T19" s="1">
        <v>2.2999999999999998</v>
      </c>
      <c r="U19" s="1">
        <v>2.2679999999999998</v>
      </c>
      <c r="V19" s="1">
        <v>2.2429999999999999</v>
      </c>
      <c r="W19" s="1">
        <v>2.2240000000000002</v>
      </c>
      <c r="X19" s="1">
        <v>2.2080000000000002</v>
      </c>
      <c r="Y19" s="1">
        <v>2.1920000000000002</v>
      </c>
      <c r="Z19" s="1">
        <v>2.1749999999999998</v>
      </c>
      <c r="AA19" s="1">
        <v>2.1560000000000001</v>
      </c>
      <c r="AB19" s="1">
        <v>2.137</v>
      </c>
      <c r="AC19" s="1">
        <v>2.12</v>
      </c>
      <c r="AD19" s="1">
        <v>2.1040000000000001</v>
      </c>
      <c r="AE19" s="1">
        <v>2.0910000000000002</v>
      </c>
      <c r="AF19" s="1">
        <v>2.0779999999999998</v>
      </c>
      <c r="AG19" s="1">
        <v>2.0630000000000002</v>
      </c>
      <c r="AH19" s="1">
        <v>2.0459999999999998</v>
      </c>
      <c r="AI19" s="1">
        <v>2.0249999999999999</v>
      </c>
      <c r="AJ19" s="1">
        <v>2.0019999999999998</v>
      </c>
      <c r="AK19" s="1">
        <v>1.9770000000000001</v>
      </c>
      <c r="AL19" s="1">
        <v>1.9510000000000001</v>
      </c>
      <c r="AM19" s="1">
        <v>1.927</v>
      </c>
      <c r="AN19" s="1">
        <v>1.9059999999999999</v>
      </c>
      <c r="AO19" s="1">
        <v>1.8879999999999999</v>
      </c>
      <c r="AP19" s="1">
        <v>1.875</v>
      </c>
      <c r="AQ19" s="1">
        <v>1.865</v>
      </c>
      <c r="AR19" s="1">
        <v>1.8580000000000001</v>
      </c>
      <c r="AS19" s="1">
        <v>1.8520000000000001</v>
      </c>
      <c r="AT19" s="1">
        <v>1.847</v>
      </c>
      <c r="AU19" s="1">
        <v>1.84</v>
      </c>
      <c r="AV19" s="1">
        <v>1.83</v>
      </c>
      <c r="AW19" s="1">
        <v>1.8169999999999999</v>
      </c>
      <c r="AX19" s="1">
        <v>1.8</v>
      </c>
      <c r="AY19" s="1">
        <v>1.78</v>
      </c>
      <c r="AZ19" s="1">
        <v>1.76</v>
      </c>
      <c r="BA19" s="1">
        <v>1.7410000000000001</v>
      </c>
      <c r="BB19" s="1">
        <v>1.728</v>
      </c>
      <c r="BC19" s="1">
        <v>1.72</v>
      </c>
      <c r="BD19" s="1">
        <v>1.7190000000000001</v>
      </c>
      <c r="BE19" s="1">
        <v>1.7230000000000001</v>
      </c>
      <c r="BF19" s="1">
        <v>1.73</v>
      </c>
      <c r="BG19" s="1">
        <v>1.738</v>
      </c>
      <c r="BH19" s="1">
        <v>1.7450000000000001</v>
      </c>
    </row>
    <row r="20" spans="1:60" x14ac:dyDescent="0.2">
      <c r="A20" s="1" t="s">
        <v>55</v>
      </c>
      <c r="B20" s="1">
        <v>3.8420000000000001</v>
      </c>
      <c r="C20" s="1">
        <v>3.758</v>
      </c>
      <c r="D20" s="1">
        <v>3.6909999999999998</v>
      </c>
      <c r="E20" s="1">
        <v>3.6379999999999999</v>
      </c>
      <c r="F20" s="1">
        <v>3.5950000000000002</v>
      </c>
      <c r="G20" s="1">
        <v>3.552</v>
      </c>
      <c r="H20" s="1">
        <v>3.5019999999999998</v>
      </c>
      <c r="I20" s="1">
        <v>3.4390000000000001</v>
      </c>
      <c r="J20" s="1">
        <v>3.36</v>
      </c>
      <c r="K20" s="1">
        <v>3.2650000000000001</v>
      </c>
      <c r="L20" s="1">
        <v>3.1579999999999999</v>
      </c>
      <c r="M20" s="1">
        <v>3.044</v>
      </c>
      <c r="N20" s="1">
        <v>2.9319999999999999</v>
      </c>
      <c r="O20" s="1">
        <v>2.8279999999999998</v>
      </c>
      <c r="P20" s="1">
        <v>2.738</v>
      </c>
      <c r="Q20" s="1">
        <v>2.6629999999999998</v>
      </c>
      <c r="R20" s="1">
        <v>2.6059999999999999</v>
      </c>
      <c r="S20" s="1">
        <v>2.5619999999999998</v>
      </c>
      <c r="T20" s="1">
        <v>2.5289999999999999</v>
      </c>
      <c r="U20" s="1">
        <v>2.5049999999999999</v>
      </c>
      <c r="V20" s="1">
        <v>2.4860000000000002</v>
      </c>
      <c r="W20" s="1">
        <v>2.468</v>
      </c>
      <c r="X20" s="1">
        <v>2.4489999999999998</v>
      </c>
      <c r="Y20" s="1">
        <v>2.4260000000000002</v>
      </c>
      <c r="Z20" s="1">
        <v>2.399</v>
      </c>
      <c r="AA20" s="1">
        <v>2.3679999999999999</v>
      </c>
      <c r="AB20" s="1">
        <v>2.335</v>
      </c>
      <c r="AC20" s="1">
        <v>2.3010000000000002</v>
      </c>
      <c r="AD20" s="1">
        <v>2.2690000000000001</v>
      </c>
      <c r="AE20" s="1">
        <v>2.238</v>
      </c>
      <c r="AF20" s="1">
        <v>2.206</v>
      </c>
      <c r="AG20" s="1">
        <v>2.1709999999999998</v>
      </c>
      <c r="AH20" s="1">
        <v>2.1309999999999998</v>
      </c>
      <c r="AI20" s="1">
        <v>2.085</v>
      </c>
      <c r="AJ20" s="1">
        <v>2.0329999999999999</v>
      </c>
      <c r="AK20" s="1">
        <v>1.9770000000000001</v>
      </c>
      <c r="AL20" s="1">
        <v>1.919</v>
      </c>
      <c r="AM20" s="1">
        <v>1.8640000000000001</v>
      </c>
      <c r="AN20" s="1">
        <v>1.8120000000000001</v>
      </c>
      <c r="AO20" s="1">
        <v>1.7649999999999999</v>
      </c>
      <c r="AP20" s="1">
        <v>1.7230000000000001</v>
      </c>
      <c r="AQ20" s="1">
        <v>1.6830000000000001</v>
      </c>
      <c r="AR20" s="1">
        <v>1.6439999999999999</v>
      </c>
      <c r="AS20" s="1">
        <v>1.605</v>
      </c>
      <c r="AT20" s="1">
        <v>1.5660000000000001</v>
      </c>
      <c r="AU20" s="1">
        <v>1.5309999999999999</v>
      </c>
      <c r="AV20" s="1">
        <v>1.5009999999999999</v>
      </c>
      <c r="AW20" s="1">
        <v>1.48</v>
      </c>
      <c r="AX20" s="1">
        <v>1.468</v>
      </c>
      <c r="AY20" s="1">
        <v>1.464</v>
      </c>
      <c r="AZ20" s="1">
        <v>1.468</v>
      </c>
      <c r="BA20" s="1">
        <v>1.4770000000000001</v>
      </c>
      <c r="BB20" s="1">
        <v>1.488</v>
      </c>
      <c r="BC20" s="1">
        <v>1.4970000000000001</v>
      </c>
      <c r="BD20" s="1">
        <v>1.504</v>
      </c>
      <c r="BE20" s="1">
        <v>1.5069999999999999</v>
      </c>
      <c r="BF20" s="1">
        <v>1.506</v>
      </c>
      <c r="BG20" s="1">
        <v>1.5009999999999999</v>
      </c>
      <c r="BH20" s="1">
        <v>1.496</v>
      </c>
    </row>
    <row r="21" spans="1:60" x14ac:dyDescent="0.2">
      <c r="A21" s="1" t="s">
        <v>11</v>
      </c>
      <c r="B21" s="1">
        <v>2.98</v>
      </c>
      <c r="C21" s="1">
        <v>2.83</v>
      </c>
      <c r="D21" s="1">
        <v>2.72</v>
      </c>
      <c r="E21" s="1">
        <v>2.7</v>
      </c>
      <c r="F21" s="1">
        <v>2.57</v>
      </c>
      <c r="G21" s="1">
        <v>2.52</v>
      </c>
      <c r="H21" s="1">
        <v>2.34</v>
      </c>
      <c r="I21" s="1">
        <v>2.33</v>
      </c>
      <c r="J21" s="1">
        <v>2.2400000000000002</v>
      </c>
      <c r="K21" s="1">
        <v>2.2000000000000002</v>
      </c>
      <c r="L21" s="1">
        <v>2.2000000000000002</v>
      </c>
      <c r="M21" s="1">
        <v>2.25</v>
      </c>
      <c r="N21" s="1">
        <v>2.2400000000000002</v>
      </c>
      <c r="O21" s="1">
        <v>2.2599999999999998</v>
      </c>
      <c r="P21" s="1">
        <v>2.2599999999999998</v>
      </c>
      <c r="Q21" s="1">
        <v>2.27</v>
      </c>
      <c r="R21" s="1">
        <v>2.2999999999999998</v>
      </c>
      <c r="S21" s="1">
        <v>2.23</v>
      </c>
      <c r="T21" s="1">
        <v>2.21</v>
      </c>
      <c r="U21" s="1">
        <v>2.2799999999999998</v>
      </c>
      <c r="V21" s="1">
        <v>2.2799999999999998</v>
      </c>
      <c r="W21" s="1">
        <v>2.2400000000000002</v>
      </c>
      <c r="X21" s="1">
        <v>2.34</v>
      </c>
      <c r="Y21" s="1">
        <v>2.42</v>
      </c>
      <c r="Z21" s="1">
        <v>2.37</v>
      </c>
      <c r="AA21" s="1">
        <v>2.33</v>
      </c>
      <c r="AB21" s="1">
        <v>2.2200000000000002</v>
      </c>
      <c r="AC21" s="1">
        <v>2.15</v>
      </c>
      <c r="AD21" s="1">
        <v>2.13</v>
      </c>
      <c r="AE21" s="1">
        <v>2.08</v>
      </c>
      <c r="AF21" s="1">
        <v>2.06</v>
      </c>
      <c r="AG21" s="1">
        <v>2.0699999999999998</v>
      </c>
      <c r="AH21" s="1">
        <v>1.95</v>
      </c>
      <c r="AI21" s="1">
        <v>1.87</v>
      </c>
      <c r="AJ21" s="1">
        <v>1.81</v>
      </c>
      <c r="AK21" s="1">
        <v>1.62</v>
      </c>
      <c r="AL21" s="1">
        <v>1.59</v>
      </c>
      <c r="AM21" s="1">
        <v>1.51</v>
      </c>
      <c r="AN21" s="1">
        <v>1.44</v>
      </c>
      <c r="AO21" s="1">
        <v>1.37</v>
      </c>
      <c r="AP21" s="1">
        <v>1.37</v>
      </c>
      <c r="AQ21" s="1">
        <v>1.31</v>
      </c>
      <c r="AR21" s="1">
        <v>1.25</v>
      </c>
      <c r="AS21" s="1">
        <v>1.22</v>
      </c>
      <c r="AT21" s="1">
        <v>1.23</v>
      </c>
      <c r="AU21" s="1">
        <v>1.24</v>
      </c>
      <c r="AV21" s="1">
        <v>1.27</v>
      </c>
      <c r="AW21" s="1">
        <v>1.31</v>
      </c>
      <c r="AX21" s="1">
        <v>1.39</v>
      </c>
      <c r="AY21" s="1">
        <v>1.4</v>
      </c>
      <c r="AZ21" s="1">
        <v>1.41</v>
      </c>
      <c r="BA21" s="1">
        <v>1.33</v>
      </c>
      <c r="BB21" s="1">
        <v>1.33</v>
      </c>
      <c r="BC21" s="1">
        <v>1.29</v>
      </c>
      <c r="BD21" s="1">
        <v>1.32</v>
      </c>
      <c r="BE21" s="1">
        <v>1.32</v>
      </c>
      <c r="BF21" s="1">
        <v>1.39</v>
      </c>
      <c r="BG21" s="1">
        <v>1.48</v>
      </c>
      <c r="BH21" s="1">
        <v>1.46</v>
      </c>
    </row>
    <row r="22" spans="1:60" x14ac:dyDescent="0.2">
      <c r="A22" s="1" t="s">
        <v>17</v>
      </c>
      <c r="B22" s="1">
        <v>2.34</v>
      </c>
      <c r="C22" s="1">
        <v>2.17</v>
      </c>
      <c r="D22" s="1">
        <v>2.04</v>
      </c>
      <c r="E22" s="1">
        <v>2.0099999999999998</v>
      </c>
      <c r="F22" s="1">
        <v>1.96</v>
      </c>
      <c r="G22" s="1">
        <v>1.91</v>
      </c>
      <c r="H22" s="1">
        <v>1.9</v>
      </c>
      <c r="I22" s="1">
        <v>3.66</v>
      </c>
      <c r="J22" s="1">
        <v>3.63</v>
      </c>
      <c r="K22" s="1">
        <v>3.19</v>
      </c>
      <c r="L22" s="1">
        <v>2.89</v>
      </c>
      <c r="M22" s="1">
        <v>2.67</v>
      </c>
      <c r="N22" s="1">
        <v>2.5499999999999998</v>
      </c>
      <c r="O22" s="1">
        <v>2.44</v>
      </c>
      <c r="P22" s="1">
        <v>2.71</v>
      </c>
      <c r="Q22" s="1">
        <v>2.59</v>
      </c>
      <c r="R22" s="1">
        <v>2.54</v>
      </c>
      <c r="S22" s="1">
        <v>2.57</v>
      </c>
      <c r="T22" s="1">
        <v>2.52</v>
      </c>
      <c r="U22" s="1">
        <v>2.4900000000000002</v>
      </c>
      <c r="V22" s="1">
        <v>2.4300000000000002</v>
      </c>
      <c r="W22" s="1">
        <v>2.36</v>
      </c>
      <c r="X22" s="1">
        <v>2.17</v>
      </c>
      <c r="Y22" s="1">
        <v>2.06</v>
      </c>
      <c r="Z22" s="1">
        <v>2.2599999999999998</v>
      </c>
      <c r="AA22" s="1">
        <v>2.31</v>
      </c>
      <c r="AB22" s="1">
        <v>2.39</v>
      </c>
      <c r="AC22" s="1">
        <v>2.38</v>
      </c>
      <c r="AD22" s="1">
        <v>2.2999999999999998</v>
      </c>
      <c r="AE22" s="1">
        <v>2.2200000000000002</v>
      </c>
      <c r="AF22" s="1">
        <v>1.83</v>
      </c>
      <c r="AG22" s="1">
        <v>1.59</v>
      </c>
      <c r="AH22" s="1">
        <v>1.51</v>
      </c>
      <c r="AI22" s="1">
        <v>1.43</v>
      </c>
      <c r="AJ22" s="1">
        <v>1.4</v>
      </c>
      <c r="AK22" s="1">
        <v>1.33</v>
      </c>
      <c r="AL22" s="1">
        <v>1.3</v>
      </c>
      <c r="AM22" s="1">
        <v>1.32</v>
      </c>
      <c r="AN22" s="1">
        <v>1.32</v>
      </c>
      <c r="AO22" s="1">
        <v>1.3</v>
      </c>
      <c r="AP22" s="1">
        <v>1.31</v>
      </c>
      <c r="AQ22" s="1">
        <v>1.27</v>
      </c>
      <c r="AR22" s="1">
        <v>1.27</v>
      </c>
      <c r="AS22" s="1">
        <v>1.3</v>
      </c>
      <c r="AT22" s="1">
        <v>1.33</v>
      </c>
      <c r="AU22" s="1">
        <v>1.4</v>
      </c>
      <c r="AV22" s="1">
        <v>1.42</v>
      </c>
      <c r="AW22" s="1">
        <v>1.45</v>
      </c>
      <c r="AX22" s="1">
        <v>1.6</v>
      </c>
      <c r="AY22" s="1">
        <v>1.66</v>
      </c>
      <c r="AZ22" s="1">
        <v>1.59</v>
      </c>
      <c r="BA22" s="1">
        <v>1.47</v>
      </c>
      <c r="BB22" s="1">
        <v>1.52</v>
      </c>
      <c r="BC22" s="1">
        <v>1.46</v>
      </c>
      <c r="BD22" s="1">
        <v>1.56</v>
      </c>
      <c r="BE22" s="1">
        <v>1.62</v>
      </c>
      <c r="BF22" s="1">
        <v>1.69</v>
      </c>
      <c r="BG22" s="1">
        <v>1.71</v>
      </c>
      <c r="BH22" s="1">
        <v>1.76</v>
      </c>
    </row>
    <row r="23" spans="1:60" x14ac:dyDescent="0.2">
      <c r="A23" s="1" t="s">
        <v>38</v>
      </c>
      <c r="B23" s="1">
        <v>2.52</v>
      </c>
      <c r="C23" s="1">
        <v>2.4500000000000002</v>
      </c>
      <c r="D23" s="1">
        <v>2.36</v>
      </c>
      <c r="E23" s="1">
        <v>2.27</v>
      </c>
      <c r="F23" s="1">
        <v>2.1800000000000002</v>
      </c>
      <c r="G23" s="1">
        <v>2.13</v>
      </c>
      <c r="H23" s="1">
        <v>2.1</v>
      </c>
      <c r="I23" s="1">
        <v>2.04</v>
      </c>
      <c r="J23" s="1">
        <v>1.99</v>
      </c>
      <c r="K23" s="1">
        <v>1.97</v>
      </c>
      <c r="L23" s="1">
        <v>1.99</v>
      </c>
      <c r="M23" s="1">
        <v>2.0299999999999998</v>
      </c>
      <c r="N23" s="1">
        <v>2.04</v>
      </c>
      <c r="O23" s="1">
        <v>2.0099999999999998</v>
      </c>
      <c r="P23" s="1">
        <v>2</v>
      </c>
      <c r="Q23" s="1">
        <v>1.98</v>
      </c>
      <c r="R23" s="1">
        <v>1.97</v>
      </c>
      <c r="S23" s="1">
        <v>1.95</v>
      </c>
      <c r="T23" s="1">
        <v>1.92</v>
      </c>
      <c r="U23" s="1">
        <v>1.9</v>
      </c>
      <c r="V23" s="1">
        <v>1.89</v>
      </c>
      <c r="W23" s="1">
        <v>1.91</v>
      </c>
      <c r="X23" s="1">
        <v>2.04</v>
      </c>
      <c r="Y23" s="1">
        <v>2.11</v>
      </c>
      <c r="Z23" s="1">
        <v>2.06</v>
      </c>
      <c r="AA23" s="1">
        <v>2.0499999999999998</v>
      </c>
      <c r="AB23" s="1">
        <v>2.15</v>
      </c>
      <c r="AC23" s="1">
        <v>2.2200000000000002</v>
      </c>
      <c r="AD23" s="1">
        <v>2.12</v>
      </c>
      <c r="AE23" s="1">
        <v>2.0099999999999998</v>
      </c>
      <c r="AF23" s="1">
        <v>1.8919999999999999</v>
      </c>
      <c r="AG23" s="1">
        <v>1.732</v>
      </c>
      <c r="AH23" s="1">
        <v>1.552</v>
      </c>
      <c r="AI23" s="1">
        <v>1.385</v>
      </c>
      <c r="AJ23" s="1">
        <v>1.4</v>
      </c>
      <c r="AK23" s="1">
        <v>1.337</v>
      </c>
      <c r="AL23" s="1">
        <v>1.27</v>
      </c>
      <c r="AM23" s="1">
        <v>1.218</v>
      </c>
      <c r="AN23" s="1">
        <v>1.232</v>
      </c>
      <c r="AO23" s="1">
        <v>1.157</v>
      </c>
      <c r="AP23" s="1">
        <v>1.1950000000000001</v>
      </c>
      <c r="AQ23" s="1">
        <v>1.2230000000000001</v>
      </c>
      <c r="AR23" s="1">
        <v>1.286</v>
      </c>
      <c r="AS23" s="1">
        <v>1.32</v>
      </c>
      <c r="AT23" s="1">
        <v>1.3440000000000001</v>
      </c>
      <c r="AU23" s="1">
        <v>1.294</v>
      </c>
      <c r="AV23" s="1">
        <v>1.3049999999999999</v>
      </c>
      <c r="AW23" s="1">
        <v>1.4159999999999999</v>
      </c>
      <c r="AX23" s="1">
        <v>1.502</v>
      </c>
      <c r="AY23" s="1">
        <v>1.542</v>
      </c>
      <c r="AZ23" s="1">
        <v>1.5669999999999999</v>
      </c>
      <c r="BA23" s="1">
        <v>1.5820000000000001</v>
      </c>
      <c r="BB23" s="1">
        <v>1.6910000000000001</v>
      </c>
      <c r="BC23" s="1">
        <v>1.7070000000000001</v>
      </c>
      <c r="BD23" s="1">
        <v>1.75</v>
      </c>
      <c r="BE23" s="1">
        <v>1.7769999999999999</v>
      </c>
      <c r="BF23" s="1">
        <v>1.762</v>
      </c>
      <c r="BG23" s="1">
        <v>1.62</v>
      </c>
      <c r="BH23" s="1">
        <v>1.57</v>
      </c>
    </row>
    <row r="24" spans="1:60" x14ac:dyDescent="0.2">
      <c r="A24" s="1" t="s">
        <v>19</v>
      </c>
      <c r="C24" s="1">
        <v>2.5</v>
      </c>
      <c r="M24" s="1">
        <v>2.2999999999999998</v>
      </c>
      <c r="W24" s="1">
        <v>2.1</v>
      </c>
      <c r="AG24" s="1">
        <v>1.8</v>
      </c>
      <c r="AK24" s="1">
        <v>1.7</v>
      </c>
      <c r="AM24" s="1">
        <v>1.6</v>
      </c>
      <c r="AP24" s="1">
        <v>1.48</v>
      </c>
      <c r="AQ24" s="1">
        <v>1.58</v>
      </c>
      <c r="AR24" s="1">
        <v>1.57</v>
      </c>
      <c r="AS24" s="1">
        <v>1.59</v>
      </c>
      <c r="AT24" s="1">
        <v>1.57</v>
      </c>
      <c r="AU24" s="1">
        <v>1.45</v>
      </c>
      <c r="AV24" s="1">
        <v>1.43</v>
      </c>
      <c r="AW24" s="1">
        <v>1.38</v>
      </c>
      <c r="AX24" s="1">
        <v>1.4</v>
      </c>
      <c r="AY24" s="1">
        <v>1.44</v>
      </c>
      <c r="AZ24" s="1">
        <v>1.4</v>
      </c>
      <c r="BA24" s="1">
        <v>1.4</v>
      </c>
      <c r="BB24" s="1">
        <v>1.45</v>
      </c>
      <c r="BC24" s="1">
        <v>1.43</v>
      </c>
      <c r="BD24" s="1">
        <v>1.46</v>
      </c>
      <c r="BE24" s="1">
        <v>1.46</v>
      </c>
      <c r="BF24" s="1">
        <v>1.46</v>
      </c>
      <c r="BG24" s="1">
        <v>1.49</v>
      </c>
      <c r="BH24" s="1">
        <v>1.49</v>
      </c>
    </row>
    <row r="25" spans="1:60" x14ac:dyDescent="0.2">
      <c r="A25" s="1" t="s">
        <v>56</v>
      </c>
      <c r="B25" s="1">
        <v>3.04</v>
      </c>
      <c r="C25" s="1">
        <v>2.96</v>
      </c>
      <c r="D25" s="1">
        <v>2.83</v>
      </c>
      <c r="E25" s="1">
        <v>2.92</v>
      </c>
      <c r="F25" s="1">
        <v>2.89</v>
      </c>
      <c r="G25" s="1">
        <v>2.78</v>
      </c>
      <c r="H25" s="1">
        <v>2.66</v>
      </c>
      <c r="I25" s="1">
        <v>2.48</v>
      </c>
      <c r="J25" s="1">
        <v>2.39</v>
      </c>
      <c r="K25" s="1">
        <v>2.4300000000000002</v>
      </c>
      <c r="L25" s="1">
        <v>2.41</v>
      </c>
      <c r="M25" s="1">
        <v>2.4300000000000002</v>
      </c>
      <c r="N25" s="1">
        <v>2.4900000000000002</v>
      </c>
      <c r="O25" s="1">
        <v>2.56</v>
      </c>
      <c r="P25" s="1">
        <v>2.61</v>
      </c>
      <c r="Q25" s="1">
        <v>2.5499999999999998</v>
      </c>
      <c r="R25" s="1">
        <v>2.5499999999999998</v>
      </c>
      <c r="S25" s="1">
        <v>2.4900000000000002</v>
      </c>
      <c r="T25" s="1">
        <v>2.4700000000000002</v>
      </c>
      <c r="U25" s="1">
        <v>2.4500000000000002</v>
      </c>
      <c r="V25" s="1">
        <v>2.3199999999999998</v>
      </c>
      <c r="W25" s="1">
        <v>2.29</v>
      </c>
      <c r="X25" s="1">
        <v>2.2799999999999998</v>
      </c>
      <c r="Y25" s="1">
        <v>2.2799999999999998</v>
      </c>
      <c r="Z25" s="1">
        <v>2.2599999999999998</v>
      </c>
      <c r="AA25" s="1">
        <v>2.2599999999999998</v>
      </c>
      <c r="AB25" s="1">
        <v>2.2000000000000002</v>
      </c>
      <c r="AC25" s="1">
        <v>2.14</v>
      </c>
      <c r="AD25" s="1">
        <v>2.13</v>
      </c>
      <c r="AE25" s="1">
        <v>2.0699999999999998</v>
      </c>
      <c r="AF25" s="1">
        <v>2.09</v>
      </c>
      <c r="AG25" s="1">
        <v>2.0499999999999998</v>
      </c>
      <c r="AH25" s="1">
        <v>1.93</v>
      </c>
      <c r="AI25" s="1">
        <v>1.87</v>
      </c>
      <c r="AJ25" s="1">
        <v>1.67</v>
      </c>
      <c r="AK25" s="1">
        <v>1.52</v>
      </c>
      <c r="AL25" s="1">
        <v>1.47</v>
      </c>
      <c r="AM25" s="1">
        <v>1.43</v>
      </c>
      <c r="AN25" s="1">
        <v>1.37</v>
      </c>
      <c r="AO25" s="1">
        <v>1.33</v>
      </c>
      <c r="AP25" s="1">
        <v>1.3</v>
      </c>
      <c r="AQ25" s="1">
        <v>1.2</v>
      </c>
      <c r="AR25" s="1">
        <v>1.19</v>
      </c>
      <c r="AS25" s="1">
        <v>1.2</v>
      </c>
      <c r="AT25" s="1">
        <v>1.25</v>
      </c>
      <c r="AU25" s="1">
        <v>1.27</v>
      </c>
      <c r="AV25" s="1">
        <v>1.25</v>
      </c>
      <c r="AW25" s="1">
        <v>1.27</v>
      </c>
      <c r="AX25" s="1">
        <v>1.34</v>
      </c>
      <c r="AY25" s="1">
        <v>1.44</v>
      </c>
      <c r="AZ25" s="1">
        <v>1.43</v>
      </c>
      <c r="BA25" s="1">
        <v>1.45</v>
      </c>
      <c r="BB25" s="1">
        <v>1.34</v>
      </c>
      <c r="BC25" s="1">
        <v>1.34</v>
      </c>
      <c r="BD25" s="1">
        <v>1.37</v>
      </c>
      <c r="BE25" s="1">
        <v>1.4</v>
      </c>
      <c r="BF25" s="1">
        <v>1.48</v>
      </c>
      <c r="BG25" s="1">
        <v>1.52</v>
      </c>
      <c r="BH25" s="1">
        <v>1.54</v>
      </c>
    </row>
    <row r="26" spans="1:60" x14ac:dyDescent="0.2">
      <c r="A26" s="1" t="s">
        <v>6</v>
      </c>
      <c r="B26" s="1">
        <v>2.3410000000000002</v>
      </c>
      <c r="C26" s="1">
        <v>2.3330000000000002</v>
      </c>
      <c r="D26" s="1">
        <v>2.327</v>
      </c>
      <c r="E26" s="1">
        <v>2.3199999999999998</v>
      </c>
      <c r="F26" s="1">
        <v>2.3119999999999998</v>
      </c>
      <c r="G26" s="1">
        <v>2.3010000000000002</v>
      </c>
      <c r="H26" s="1">
        <v>2.2869999999999999</v>
      </c>
      <c r="I26" s="1">
        <v>2.2719999999999998</v>
      </c>
      <c r="J26" s="1">
        <v>2.258</v>
      </c>
      <c r="K26" s="1">
        <v>2.2429999999999999</v>
      </c>
      <c r="L26" s="1">
        <v>2.2309999999999999</v>
      </c>
      <c r="M26" s="1">
        <v>2.2200000000000002</v>
      </c>
      <c r="N26" s="1">
        <v>2.2130000000000001</v>
      </c>
      <c r="O26" s="1">
        <v>2.2069999999999999</v>
      </c>
      <c r="P26" s="1">
        <v>2.202</v>
      </c>
      <c r="Q26" s="1">
        <v>2.1949999999999998</v>
      </c>
      <c r="R26" s="1">
        <v>2.1829999999999998</v>
      </c>
      <c r="S26" s="1">
        <v>2.1659999999999999</v>
      </c>
      <c r="T26" s="1">
        <v>2.14</v>
      </c>
      <c r="U26" s="1">
        <v>2.1059999999999999</v>
      </c>
      <c r="V26" s="1">
        <v>2.0640000000000001</v>
      </c>
      <c r="W26" s="1">
        <v>2.016</v>
      </c>
      <c r="X26" s="1">
        <v>1.93</v>
      </c>
      <c r="Y26" s="1">
        <v>1.81</v>
      </c>
      <c r="Z26" s="1">
        <v>1.74</v>
      </c>
      <c r="AA26" s="1">
        <v>1.71</v>
      </c>
      <c r="AB26" s="1">
        <v>1.67</v>
      </c>
      <c r="AC26" s="1">
        <v>1.65</v>
      </c>
      <c r="AD26" s="1">
        <v>1.63</v>
      </c>
      <c r="AE26" s="1">
        <v>1.52</v>
      </c>
      <c r="AF26" s="1">
        <v>1.46</v>
      </c>
      <c r="AG26" s="1">
        <v>1.42</v>
      </c>
      <c r="AH26" s="1">
        <v>1.33</v>
      </c>
      <c r="AI26" s="1">
        <v>1.33</v>
      </c>
      <c r="AJ26" s="1">
        <v>1.32</v>
      </c>
      <c r="AK26" s="1">
        <v>1.29</v>
      </c>
      <c r="AL26" s="1">
        <v>1.28</v>
      </c>
      <c r="AM26" s="1">
        <v>1.25</v>
      </c>
      <c r="AN26" s="1">
        <v>1.23</v>
      </c>
      <c r="AO26" s="1">
        <v>1.21</v>
      </c>
      <c r="AP26" s="1">
        <v>1.26</v>
      </c>
      <c r="AQ26" s="1">
        <v>1.21</v>
      </c>
      <c r="AR26" s="1">
        <v>1.21</v>
      </c>
      <c r="AS26" s="1">
        <v>1.2</v>
      </c>
      <c r="AT26" s="1">
        <v>1.25</v>
      </c>
      <c r="AU26" s="1">
        <v>1.26</v>
      </c>
      <c r="AV26" s="1">
        <v>1.31</v>
      </c>
      <c r="AW26" s="1">
        <v>1.38</v>
      </c>
      <c r="AX26" s="1">
        <v>1.53</v>
      </c>
      <c r="AY26" s="1">
        <v>1.53</v>
      </c>
      <c r="AZ26" s="1">
        <v>1.57</v>
      </c>
      <c r="BA26" s="1">
        <v>1.56</v>
      </c>
      <c r="BB26" s="1">
        <v>1.58</v>
      </c>
      <c r="BC26" s="1">
        <v>1.55</v>
      </c>
      <c r="BD26" s="1">
        <v>1.58</v>
      </c>
      <c r="BE26" s="1">
        <v>1.57</v>
      </c>
      <c r="BF26" s="1">
        <v>1.58</v>
      </c>
      <c r="BG26" s="1">
        <v>1.62</v>
      </c>
      <c r="BH26" s="1">
        <v>1.6</v>
      </c>
    </row>
    <row r="27" spans="1:60" x14ac:dyDescent="0.2">
      <c r="A27" s="1" t="s">
        <v>28</v>
      </c>
      <c r="B27" s="1">
        <v>6.5469999999999997</v>
      </c>
      <c r="C27" s="1">
        <v>6.6609999999999996</v>
      </c>
      <c r="D27" s="1">
        <v>6.76</v>
      </c>
      <c r="E27" s="1">
        <v>6.8440000000000003</v>
      </c>
      <c r="F27" s="1">
        <v>6.9109999999999996</v>
      </c>
      <c r="G27" s="1">
        <v>6.9619999999999997</v>
      </c>
      <c r="H27" s="1">
        <v>6.9989999999999997</v>
      </c>
      <c r="I27" s="1">
        <v>7.024</v>
      </c>
      <c r="J27" s="1">
        <v>7.0350000000000001</v>
      </c>
      <c r="K27" s="1">
        <v>7.0309999999999997</v>
      </c>
      <c r="L27" s="1">
        <v>7.0030000000000001</v>
      </c>
      <c r="M27" s="1">
        <v>6.9429999999999996</v>
      </c>
      <c r="N27" s="1">
        <v>6.8449999999999998</v>
      </c>
      <c r="O27" s="1">
        <v>6.7140000000000004</v>
      </c>
      <c r="P27" s="1">
        <v>6.5529999999999999</v>
      </c>
      <c r="Q27" s="1">
        <v>6.3760000000000003</v>
      </c>
      <c r="R27" s="1">
        <v>6.1970000000000001</v>
      </c>
      <c r="S27" s="1">
        <v>6.0289999999999999</v>
      </c>
      <c r="T27" s="1">
        <v>5.8849999999999998</v>
      </c>
      <c r="U27" s="1">
        <v>5.77</v>
      </c>
      <c r="V27" s="1">
        <v>5.6879999999999997</v>
      </c>
      <c r="W27" s="1">
        <v>5.64</v>
      </c>
      <c r="X27" s="1">
        <v>5.6130000000000004</v>
      </c>
      <c r="Y27" s="1">
        <v>5.5990000000000002</v>
      </c>
      <c r="Z27" s="1">
        <v>5.5880000000000001</v>
      </c>
      <c r="AA27" s="1">
        <v>5.5730000000000004</v>
      </c>
      <c r="AB27" s="1">
        <v>5.5430000000000001</v>
      </c>
      <c r="AC27" s="1">
        <v>5.4950000000000001</v>
      </c>
      <c r="AD27" s="1">
        <v>5.4269999999999996</v>
      </c>
      <c r="AE27" s="1">
        <v>5.3360000000000003</v>
      </c>
      <c r="AF27" s="1">
        <v>5.2249999999999996</v>
      </c>
      <c r="AG27" s="1">
        <v>5.0999999999999996</v>
      </c>
      <c r="AH27" s="1">
        <v>4.9669999999999996</v>
      </c>
      <c r="AI27" s="1">
        <v>4.8339999999999996</v>
      </c>
      <c r="AJ27" s="1">
        <v>4.7050000000000001</v>
      </c>
      <c r="AK27" s="1">
        <v>4.58</v>
      </c>
      <c r="AL27" s="1">
        <v>4.4560000000000004</v>
      </c>
      <c r="AM27" s="1">
        <v>4.3319999999999999</v>
      </c>
      <c r="AN27" s="1">
        <v>4.2069999999999999</v>
      </c>
      <c r="AO27" s="1">
        <v>4.0839999999999996</v>
      </c>
      <c r="AP27" s="1">
        <v>3.9670000000000001</v>
      </c>
      <c r="AQ27" s="1">
        <v>3.8620000000000001</v>
      </c>
      <c r="AR27" s="1">
        <v>3.7730000000000001</v>
      </c>
      <c r="AS27" s="1">
        <v>3.7029999999999998</v>
      </c>
      <c r="AT27" s="1">
        <v>3.6520000000000001</v>
      </c>
      <c r="AU27" s="1">
        <v>3.6190000000000002</v>
      </c>
      <c r="AV27" s="1">
        <v>3.6019999999999999</v>
      </c>
      <c r="AW27" s="1">
        <v>3.5950000000000002</v>
      </c>
      <c r="AX27" s="1">
        <v>3.5939999999999999</v>
      </c>
      <c r="AY27" s="1">
        <v>3.5960000000000001</v>
      </c>
      <c r="AZ27" s="1">
        <v>3.5990000000000002</v>
      </c>
      <c r="BA27" s="1">
        <v>3.6030000000000002</v>
      </c>
      <c r="BB27" s="1">
        <v>3.6080000000000001</v>
      </c>
      <c r="BC27" s="1">
        <v>3.6150000000000002</v>
      </c>
      <c r="BD27" s="1">
        <v>3.621</v>
      </c>
      <c r="BE27" s="1">
        <v>3.6230000000000002</v>
      </c>
      <c r="BF27" s="1">
        <v>3.6179999999999999</v>
      </c>
      <c r="BG27" s="1">
        <v>3.6059999999999999</v>
      </c>
      <c r="BH27" s="1">
        <v>3.585</v>
      </c>
    </row>
    <row r="28" spans="1:60" x14ac:dyDescent="0.2">
      <c r="A28" s="1" t="s">
        <v>32</v>
      </c>
      <c r="B28" s="1">
        <v>6.59</v>
      </c>
      <c r="C28" s="1">
        <v>6.6890000000000001</v>
      </c>
      <c r="D28" s="1">
        <v>6.7560000000000002</v>
      </c>
      <c r="E28" s="1">
        <v>6.7880000000000003</v>
      </c>
      <c r="F28" s="1">
        <v>6.7869999999999999</v>
      </c>
      <c r="G28" s="1">
        <v>6.7560000000000002</v>
      </c>
      <c r="H28" s="1">
        <v>6.7030000000000003</v>
      </c>
      <c r="I28" s="1">
        <v>6.6349999999999998</v>
      </c>
      <c r="J28" s="1">
        <v>6.56</v>
      </c>
      <c r="K28" s="1">
        <v>6.4820000000000002</v>
      </c>
      <c r="L28" s="1">
        <v>6.4039999999999999</v>
      </c>
      <c r="M28" s="1">
        <v>6.3230000000000004</v>
      </c>
      <c r="N28" s="1">
        <v>6.2370000000000001</v>
      </c>
      <c r="O28" s="1">
        <v>6.1429999999999998</v>
      </c>
      <c r="P28" s="1">
        <v>6.04</v>
      </c>
      <c r="Q28" s="1">
        <v>5.9260000000000002</v>
      </c>
      <c r="R28" s="1">
        <v>5.7960000000000003</v>
      </c>
      <c r="S28" s="1">
        <v>5.6509999999999998</v>
      </c>
      <c r="T28" s="1">
        <v>5.4939999999999998</v>
      </c>
      <c r="U28" s="1">
        <v>5.3310000000000004</v>
      </c>
      <c r="V28" s="1">
        <v>5.17</v>
      </c>
      <c r="W28" s="1">
        <v>5.0220000000000002</v>
      </c>
      <c r="X28" s="1">
        <v>4.8949999999999996</v>
      </c>
      <c r="Y28" s="1">
        <v>4.7910000000000004</v>
      </c>
      <c r="Z28" s="1">
        <v>4.7110000000000003</v>
      </c>
      <c r="AA28" s="1">
        <v>4.6500000000000004</v>
      </c>
      <c r="AB28" s="1">
        <v>4.6029999999999998</v>
      </c>
      <c r="AC28" s="1">
        <v>4.5570000000000004</v>
      </c>
      <c r="AD28" s="1">
        <v>4.5039999999999996</v>
      </c>
      <c r="AE28" s="1">
        <v>4.4359999999999999</v>
      </c>
      <c r="AF28" s="1">
        <v>4.3440000000000003</v>
      </c>
      <c r="AG28" s="1">
        <v>4.2220000000000004</v>
      </c>
      <c r="AH28" s="1">
        <v>4.0709999999999997</v>
      </c>
      <c r="AI28" s="1">
        <v>3.8980000000000001</v>
      </c>
      <c r="AJ28" s="1">
        <v>3.7069999999999999</v>
      </c>
      <c r="AK28" s="1">
        <v>3.512</v>
      </c>
      <c r="AL28" s="1">
        <v>3.323</v>
      </c>
      <c r="AM28" s="1">
        <v>3.1539999999999999</v>
      </c>
      <c r="AN28" s="1">
        <v>3.0129999999999999</v>
      </c>
      <c r="AO28" s="1">
        <v>2.903</v>
      </c>
      <c r="AP28" s="1">
        <v>2.8239999999999998</v>
      </c>
      <c r="AQ28" s="1">
        <v>2.77</v>
      </c>
      <c r="AR28" s="1">
        <v>2.73</v>
      </c>
      <c r="AS28" s="1">
        <v>2.698</v>
      </c>
      <c r="AT28" s="1">
        <v>2.6709999999999998</v>
      </c>
      <c r="AU28" s="1">
        <v>2.6539999999999999</v>
      </c>
      <c r="AV28" s="1">
        <v>2.653</v>
      </c>
      <c r="AW28" s="1">
        <v>2.6720000000000002</v>
      </c>
      <c r="AX28" s="1">
        <v>2.7120000000000002</v>
      </c>
      <c r="AY28" s="1">
        <v>2.7690000000000001</v>
      </c>
      <c r="AZ28" s="1">
        <v>2.8330000000000002</v>
      </c>
      <c r="BA28" s="1">
        <v>2.8919999999999999</v>
      </c>
      <c r="BB28" s="1">
        <v>2.9359999999999999</v>
      </c>
      <c r="BC28" s="1">
        <v>2.9580000000000002</v>
      </c>
      <c r="BD28" s="1">
        <v>2.956</v>
      </c>
      <c r="BE28" s="1">
        <v>2.93</v>
      </c>
      <c r="BF28" s="1">
        <v>2.887</v>
      </c>
      <c r="BG28" s="1">
        <v>2.8359999999999999</v>
      </c>
      <c r="BH28" s="1">
        <v>2.786</v>
      </c>
    </row>
    <row r="29" spans="1:60" x14ac:dyDescent="0.2">
      <c r="A29" s="1" t="s">
        <v>8</v>
      </c>
      <c r="B29" s="1">
        <v>2.2400000000000002</v>
      </c>
      <c r="C29" s="1">
        <v>2.17</v>
      </c>
      <c r="D29" s="1">
        <v>2.14</v>
      </c>
      <c r="E29" s="1">
        <v>2.06</v>
      </c>
      <c r="F29" s="1">
        <v>1.96</v>
      </c>
      <c r="G29" s="1">
        <v>1.99</v>
      </c>
      <c r="H29" s="1">
        <v>2.02</v>
      </c>
      <c r="I29" s="1">
        <v>2.0099999999999998</v>
      </c>
      <c r="J29" s="1">
        <v>1.998</v>
      </c>
      <c r="K29" s="1">
        <v>2.04</v>
      </c>
      <c r="L29" s="1">
        <v>2.09</v>
      </c>
      <c r="M29" s="1">
        <v>2.12</v>
      </c>
      <c r="N29" s="1">
        <v>2.08</v>
      </c>
      <c r="O29" s="1">
        <v>2.04</v>
      </c>
      <c r="P29" s="1">
        <v>2.04</v>
      </c>
      <c r="Q29" s="1">
        <v>2.02</v>
      </c>
      <c r="R29" s="1">
        <v>1.99</v>
      </c>
      <c r="S29" s="1">
        <v>1.94</v>
      </c>
      <c r="T29" s="1">
        <v>1.96</v>
      </c>
      <c r="U29" s="1">
        <v>1.96</v>
      </c>
      <c r="V29" s="1">
        <v>1.95</v>
      </c>
      <c r="W29" s="1">
        <v>1.93</v>
      </c>
      <c r="X29" s="1">
        <v>1.98</v>
      </c>
      <c r="Y29" s="1">
        <v>2.08</v>
      </c>
      <c r="Z29" s="1">
        <v>2.09</v>
      </c>
      <c r="AA29" s="1">
        <v>2.06</v>
      </c>
      <c r="AB29" s="1">
        <v>2.08</v>
      </c>
      <c r="AC29" s="1">
        <v>2.0499999999999998</v>
      </c>
      <c r="AD29" s="1">
        <v>2.02</v>
      </c>
      <c r="AE29" s="1">
        <v>1.92</v>
      </c>
      <c r="AF29" s="1">
        <v>1.8440000000000001</v>
      </c>
      <c r="AG29" s="1">
        <v>1.7729999999999999</v>
      </c>
      <c r="AH29" s="1">
        <v>1.6739999999999999</v>
      </c>
      <c r="AI29" s="1">
        <v>1.5629999999999999</v>
      </c>
      <c r="AJ29" s="1">
        <v>1.47</v>
      </c>
      <c r="AK29" s="1">
        <v>1.397</v>
      </c>
      <c r="AL29" s="1">
        <v>1.3320000000000001</v>
      </c>
      <c r="AM29" s="1">
        <v>1.27</v>
      </c>
      <c r="AN29" s="1">
        <v>1.2070000000000001</v>
      </c>
      <c r="AO29" s="1">
        <v>1.121</v>
      </c>
      <c r="AP29" s="1">
        <v>1.1100000000000001</v>
      </c>
      <c r="AQ29" s="1">
        <v>1.085</v>
      </c>
      <c r="AR29" s="1">
        <v>1.1259999999999999</v>
      </c>
      <c r="AS29" s="1">
        <v>1.1719999999999999</v>
      </c>
      <c r="AT29" s="1">
        <v>1.218</v>
      </c>
      <c r="AU29" s="1">
        <v>1.2130000000000001</v>
      </c>
      <c r="AV29" s="1">
        <v>1.31</v>
      </c>
      <c r="AW29" s="1">
        <v>1.345</v>
      </c>
      <c r="AX29" s="1">
        <v>1.458</v>
      </c>
      <c r="AY29" s="1">
        <v>1.4730000000000001</v>
      </c>
      <c r="AZ29" s="1">
        <v>1.4430000000000001</v>
      </c>
      <c r="BA29" s="1">
        <v>1.4590000000000001</v>
      </c>
      <c r="BB29" s="1">
        <v>1.5309999999999999</v>
      </c>
      <c r="BC29" s="1">
        <v>1.506</v>
      </c>
      <c r="BD29" s="1">
        <v>1.498</v>
      </c>
      <c r="BE29" s="1">
        <v>1.506</v>
      </c>
      <c r="BF29" s="1">
        <v>1.466</v>
      </c>
      <c r="BG29" s="1">
        <v>1.3740000000000001</v>
      </c>
      <c r="BH29" s="1">
        <v>1.3009999999999999</v>
      </c>
    </row>
    <row r="30" spans="1:60" x14ac:dyDescent="0.2">
      <c r="A30" s="1" t="s">
        <v>33</v>
      </c>
      <c r="B30" s="1">
        <v>6.2549999999999999</v>
      </c>
      <c r="C30" s="1">
        <v>6.36</v>
      </c>
      <c r="D30" s="1">
        <v>6.4409999999999998</v>
      </c>
      <c r="E30" s="1">
        <v>6.4939999999999998</v>
      </c>
      <c r="F30" s="1">
        <v>6.5179999999999998</v>
      </c>
      <c r="G30" s="1">
        <v>6.516</v>
      </c>
      <c r="H30" s="1">
        <v>6.4950000000000001</v>
      </c>
      <c r="I30" s="1">
        <v>6.4610000000000003</v>
      </c>
      <c r="J30" s="1">
        <v>6.4210000000000003</v>
      </c>
      <c r="K30" s="1">
        <v>6.3769999999999998</v>
      </c>
      <c r="L30" s="1">
        <v>6.3259999999999996</v>
      </c>
      <c r="M30" s="1">
        <v>6.2629999999999999</v>
      </c>
      <c r="N30" s="1">
        <v>6.1849999999999996</v>
      </c>
      <c r="O30" s="1">
        <v>6.0880000000000001</v>
      </c>
      <c r="P30" s="1">
        <v>5.9729999999999999</v>
      </c>
      <c r="Q30" s="1">
        <v>5.8419999999999996</v>
      </c>
      <c r="R30" s="1">
        <v>5.6989999999999998</v>
      </c>
      <c r="S30" s="1">
        <v>5.55</v>
      </c>
      <c r="T30" s="1">
        <v>5.399</v>
      </c>
      <c r="U30" s="1">
        <v>5.2510000000000003</v>
      </c>
      <c r="V30" s="1">
        <v>5.1120000000000001</v>
      </c>
      <c r="W30" s="1">
        <v>4.984</v>
      </c>
      <c r="X30" s="1">
        <v>4.8680000000000003</v>
      </c>
      <c r="Y30" s="1">
        <v>4.7629999999999999</v>
      </c>
      <c r="Z30" s="1">
        <v>4.6689999999999996</v>
      </c>
      <c r="AA30" s="1">
        <v>4.585</v>
      </c>
      <c r="AB30" s="1">
        <v>4.5090000000000003</v>
      </c>
      <c r="AC30" s="1">
        <v>4.5</v>
      </c>
      <c r="AD30" s="1">
        <v>4.28</v>
      </c>
      <c r="AE30" s="1">
        <v>4.1790000000000003</v>
      </c>
      <c r="AF30" s="1">
        <v>4.0720000000000001</v>
      </c>
      <c r="AG30" s="1">
        <v>4.1989999999999998</v>
      </c>
      <c r="AH30" s="1">
        <v>4.0039999999999996</v>
      </c>
      <c r="AI30" s="1">
        <v>3.8</v>
      </c>
      <c r="AJ30" s="1">
        <v>3.5369999999999999</v>
      </c>
      <c r="AK30" s="1">
        <v>3.5960000000000001</v>
      </c>
      <c r="AL30" s="1">
        <v>3.32</v>
      </c>
      <c r="AM30" s="1">
        <v>3.0819999999999999</v>
      </c>
      <c r="AN30" s="1">
        <v>2.8149999999999999</v>
      </c>
      <c r="AO30" s="1">
        <v>2.72</v>
      </c>
      <c r="AP30" s="1">
        <v>2.58</v>
      </c>
      <c r="AQ30" s="1">
        <v>2.46</v>
      </c>
      <c r="AR30" s="1">
        <v>2.52</v>
      </c>
      <c r="AS30" s="1">
        <v>2.36</v>
      </c>
      <c r="AT30" s="1">
        <v>2.46</v>
      </c>
      <c r="AU30" s="1">
        <v>2.36</v>
      </c>
      <c r="AV30" s="1">
        <v>2.39</v>
      </c>
      <c r="AW30" s="1">
        <v>2.5539999999999998</v>
      </c>
      <c r="AX30" s="1">
        <v>2.637</v>
      </c>
      <c r="AY30" s="1">
        <v>2.5299999999999998</v>
      </c>
      <c r="AZ30" s="1">
        <v>2.3420000000000001</v>
      </c>
      <c r="BA30" s="1">
        <v>2.2360000000000002</v>
      </c>
      <c r="BB30" s="1">
        <v>2.1930000000000001</v>
      </c>
      <c r="BC30" s="1">
        <v>2.35</v>
      </c>
      <c r="BD30" s="1">
        <v>2.4569999999999999</v>
      </c>
      <c r="BE30" s="1">
        <v>2.4910000000000001</v>
      </c>
      <c r="BF30" s="1">
        <v>2.4550000000000001</v>
      </c>
      <c r="BG30" s="1">
        <v>2.419</v>
      </c>
      <c r="BH30" s="1">
        <v>2.419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EB6D5-1928-DC42-82DF-5DA42298C2C0}">
  <dimension ref="A1:B29"/>
  <sheetViews>
    <sheetView workbookViewId="0">
      <selection activeCell="B61" sqref="B61"/>
    </sheetView>
  </sheetViews>
  <sheetFormatPr baseColWidth="10" defaultRowHeight="16" x14ac:dyDescent="0.2"/>
  <cols>
    <col min="1" max="16384" width="10.83203125" style="1"/>
  </cols>
  <sheetData>
    <row r="1" spans="1:2" s="1" customFormat="1" x14ac:dyDescent="0.2">
      <c r="B1" s="1">
        <v>2016</v>
      </c>
    </row>
    <row r="2" spans="1:2" s="1" customFormat="1" x14ac:dyDescent="0.2">
      <c r="A2" s="1" t="s">
        <v>27</v>
      </c>
      <c r="B2" s="1">
        <v>2.6</v>
      </c>
    </row>
    <row r="3" spans="1:2" s="1" customFormat="1" x14ac:dyDescent="0.2">
      <c r="A3" s="1" t="s">
        <v>23</v>
      </c>
      <c r="B3" s="1">
        <v>2.5</v>
      </c>
    </row>
    <row r="4" spans="1:2" s="1" customFormat="1" x14ac:dyDescent="0.2">
      <c r="A4" s="1" t="s">
        <v>29</v>
      </c>
      <c r="B4" s="1">
        <v>2.6</v>
      </c>
    </row>
    <row r="5" spans="1:2" s="1" customFormat="1" x14ac:dyDescent="0.2">
      <c r="A5" s="1" t="s">
        <v>3</v>
      </c>
      <c r="B5" s="1">
        <v>7.8</v>
      </c>
    </row>
    <row r="6" spans="1:2" s="1" customFormat="1" x14ac:dyDescent="0.2">
      <c r="A6" s="1" t="s">
        <v>36</v>
      </c>
      <c r="B6" s="1">
        <v>2.5</v>
      </c>
    </row>
    <row r="7" spans="1:2" s="1" customFormat="1" x14ac:dyDescent="0.2">
      <c r="A7" s="1" t="s">
        <v>22</v>
      </c>
      <c r="B7" s="1">
        <v>4.5999999999999996</v>
      </c>
    </row>
    <row r="8" spans="1:2" s="1" customFormat="1" x14ac:dyDescent="0.2">
      <c r="A8" s="1" t="s">
        <v>12</v>
      </c>
      <c r="B8" s="1">
        <v>2.4</v>
      </c>
    </row>
    <row r="9" spans="1:2" s="1" customFormat="1" x14ac:dyDescent="0.2">
      <c r="A9" s="1" t="s">
        <v>37</v>
      </c>
      <c r="B9" s="1">
        <v>3.2</v>
      </c>
    </row>
    <row r="10" spans="1:2" s="1" customFormat="1" x14ac:dyDescent="0.2">
      <c r="A10" s="1" t="s">
        <v>13</v>
      </c>
      <c r="B10" s="1">
        <v>6.8</v>
      </c>
    </row>
    <row r="11" spans="1:2" s="1" customFormat="1" x14ac:dyDescent="0.2">
      <c r="A11" s="1" t="s">
        <v>26</v>
      </c>
      <c r="B11" s="1">
        <v>2.5</v>
      </c>
    </row>
    <row r="12" spans="1:2" s="1" customFormat="1" x14ac:dyDescent="0.2">
      <c r="A12" s="1" t="s">
        <v>9</v>
      </c>
      <c r="B12" s="1">
        <v>11.7</v>
      </c>
    </row>
    <row r="13" spans="1:2" s="1" customFormat="1" x14ac:dyDescent="0.2">
      <c r="A13" s="1" t="s">
        <v>7</v>
      </c>
      <c r="B13" s="1">
        <v>2.7</v>
      </c>
    </row>
    <row r="14" spans="1:2" s="1" customFormat="1" x14ac:dyDescent="0.2">
      <c r="A14" s="1" t="s">
        <v>14</v>
      </c>
      <c r="B14" s="1">
        <v>2.6</v>
      </c>
    </row>
    <row r="15" spans="1:2" s="1" customFormat="1" x14ac:dyDescent="0.2">
      <c r="A15" s="1" t="s">
        <v>20</v>
      </c>
      <c r="B15" s="1">
        <v>5.0999999999999996</v>
      </c>
    </row>
    <row r="16" spans="1:2" s="1" customFormat="1" x14ac:dyDescent="0.2">
      <c r="A16" s="1" t="s">
        <v>21</v>
      </c>
      <c r="B16" s="1">
        <v>6.1</v>
      </c>
    </row>
    <row r="17" spans="1:2" s="1" customFormat="1" x14ac:dyDescent="0.2">
      <c r="A17" s="1" t="s">
        <v>15</v>
      </c>
      <c r="B17" s="1">
        <v>2.6</v>
      </c>
    </row>
    <row r="18" spans="1:2" s="1" customFormat="1" x14ac:dyDescent="0.2">
      <c r="A18" s="1" t="s">
        <v>16</v>
      </c>
      <c r="B18" s="1">
        <v>2.7</v>
      </c>
    </row>
    <row r="19" spans="1:2" s="1" customFormat="1" x14ac:dyDescent="0.2">
      <c r="A19" s="1" t="s">
        <v>24</v>
      </c>
      <c r="B19" s="1">
        <v>2.6</v>
      </c>
    </row>
    <row r="20" spans="1:2" s="1" customFormat="1" x14ac:dyDescent="0.2">
      <c r="A20" s="1" t="s">
        <v>11</v>
      </c>
      <c r="B20" s="1">
        <v>10.6</v>
      </c>
    </row>
    <row r="21" spans="1:2" s="1" customFormat="1" x14ac:dyDescent="0.2">
      <c r="A21" s="1" t="s">
        <v>17</v>
      </c>
      <c r="B21" s="1">
        <v>1.6</v>
      </c>
    </row>
    <row r="22" spans="1:2" s="1" customFormat="1" x14ac:dyDescent="0.2">
      <c r="A22" s="1" t="s">
        <v>38</v>
      </c>
      <c r="B22" s="1">
        <v>11.6</v>
      </c>
    </row>
    <row r="23" spans="1:2" s="1" customFormat="1" x14ac:dyDescent="0.2">
      <c r="A23" s="1" t="s">
        <v>19</v>
      </c>
      <c r="B23" s="1">
        <v>2.6</v>
      </c>
    </row>
    <row r="24" spans="1:2" s="1" customFormat="1" x14ac:dyDescent="0.2">
      <c r="A24" s="1" t="s">
        <v>4</v>
      </c>
      <c r="B24" s="1">
        <v>6.8</v>
      </c>
    </row>
    <row r="25" spans="1:2" s="1" customFormat="1" x14ac:dyDescent="0.2">
      <c r="A25" s="1" t="s">
        <v>6</v>
      </c>
      <c r="B25" s="1">
        <v>7.7</v>
      </c>
    </row>
    <row r="26" spans="1:2" s="1" customFormat="1" x14ac:dyDescent="0.2">
      <c r="A26" s="1" t="s">
        <v>28</v>
      </c>
      <c r="B26" s="1">
        <v>0.5</v>
      </c>
    </row>
    <row r="27" spans="1:2" s="1" customFormat="1" x14ac:dyDescent="0.2">
      <c r="A27" s="1" t="s">
        <v>32</v>
      </c>
      <c r="B27" s="1">
        <v>2.6</v>
      </c>
    </row>
    <row r="28" spans="1:2" s="1" customFormat="1" x14ac:dyDescent="0.2">
      <c r="A28" s="1" t="s">
        <v>8</v>
      </c>
      <c r="B28" s="1">
        <v>3.7</v>
      </c>
    </row>
    <row r="29" spans="1:2" s="1" customFormat="1" x14ac:dyDescent="0.2">
      <c r="A29" s="1" t="s">
        <v>33</v>
      </c>
      <c r="B29" s="1">
        <v>2.6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EA135-3C0D-BC4E-AA22-5D4DDC3A90AF}">
  <dimension ref="A1:CX10"/>
  <sheetViews>
    <sheetView workbookViewId="0">
      <selection activeCell="B61" sqref="B61"/>
    </sheetView>
  </sheetViews>
  <sheetFormatPr baseColWidth="10" defaultRowHeight="16" x14ac:dyDescent="0.2"/>
  <cols>
    <col min="1" max="16384" width="10.83203125" style="1"/>
  </cols>
  <sheetData>
    <row r="1" spans="1:102" x14ac:dyDescent="0.2">
      <c r="B1" s="1">
        <v>1915</v>
      </c>
      <c r="C1" s="1">
        <f t="shared" ref="C1:AH1" si="0">B1+1</f>
        <v>1916</v>
      </c>
      <c r="D1" s="1">
        <f t="shared" si="0"/>
        <v>1917</v>
      </c>
      <c r="E1" s="1">
        <f t="shared" si="0"/>
        <v>1918</v>
      </c>
      <c r="F1" s="1">
        <f t="shared" si="0"/>
        <v>1919</v>
      </c>
      <c r="G1" s="1">
        <f t="shared" si="0"/>
        <v>1920</v>
      </c>
      <c r="H1" s="1">
        <f t="shared" si="0"/>
        <v>1921</v>
      </c>
      <c r="I1" s="1">
        <f t="shared" si="0"/>
        <v>1922</v>
      </c>
      <c r="J1" s="1">
        <f t="shared" si="0"/>
        <v>1923</v>
      </c>
      <c r="K1" s="1">
        <f t="shared" si="0"/>
        <v>1924</v>
      </c>
      <c r="L1" s="1">
        <f t="shared" si="0"/>
        <v>1925</v>
      </c>
      <c r="M1" s="1">
        <f t="shared" si="0"/>
        <v>1926</v>
      </c>
      <c r="N1" s="1">
        <f t="shared" si="0"/>
        <v>1927</v>
      </c>
      <c r="O1" s="1">
        <f t="shared" si="0"/>
        <v>1928</v>
      </c>
      <c r="P1" s="1">
        <f t="shared" si="0"/>
        <v>1929</v>
      </c>
      <c r="Q1" s="1">
        <f t="shared" si="0"/>
        <v>1930</v>
      </c>
      <c r="R1" s="1">
        <f t="shared" si="0"/>
        <v>1931</v>
      </c>
      <c r="S1" s="1">
        <f t="shared" si="0"/>
        <v>1932</v>
      </c>
      <c r="T1" s="1">
        <f t="shared" si="0"/>
        <v>1933</v>
      </c>
      <c r="U1" s="1">
        <f t="shared" si="0"/>
        <v>1934</v>
      </c>
      <c r="V1" s="1">
        <f t="shared" si="0"/>
        <v>1935</v>
      </c>
      <c r="W1" s="1">
        <f t="shared" si="0"/>
        <v>1936</v>
      </c>
      <c r="X1" s="1">
        <f t="shared" si="0"/>
        <v>1937</v>
      </c>
      <c r="Y1" s="1">
        <f t="shared" si="0"/>
        <v>1938</v>
      </c>
      <c r="Z1" s="1">
        <f t="shared" si="0"/>
        <v>1939</v>
      </c>
      <c r="AA1" s="1">
        <f t="shared" si="0"/>
        <v>1940</v>
      </c>
      <c r="AB1" s="1">
        <f t="shared" si="0"/>
        <v>1941</v>
      </c>
      <c r="AC1" s="1">
        <f t="shared" si="0"/>
        <v>1942</v>
      </c>
      <c r="AD1" s="1">
        <f t="shared" si="0"/>
        <v>1943</v>
      </c>
      <c r="AE1" s="1">
        <f t="shared" si="0"/>
        <v>1944</v>
      </c>
      <c r="AF1" s="1">
        <f t="shared" si="0"/>
        <v>1945</v>
      </c>
      <c r="AG1" s="1">
        <f t="shared" si="0"/>
        <v>1946</v>
      </c>
      <c r="AH1" s="1">
        <f t="shared" si="0"/>
        <v>1947</v>
      </c>
      <c r="AI1" s="1">
        <f t="shared" ref="AI1:BN1" si="1">AH1+1</f>
        <v>1948</v>
      </c>
      <c r="AJ1" s="1">
        <f t="shared" si="1"/>
        <v>1949</v>
      </c>
      <c r="AK1" s="1">
        <f t="shared" si="1"/>
        <v>1950</v>
      </c>
      <c r="AL1" s="1">
        <f t="shared" si="1"/>
        <v>1951</v>
      </c>
      <c r="AM1" s="1">
        <f t="shared" si="1"/>
        <v>1952</v>
      </c>
      <c r="AN1" s="1">
        <f t="shared" si="1"/>
        <v>1953</v>
      </c>
      <c r="AO1" s="1">
        <f t="shared" si="1"/>
        <v>1954</v>
      </c>
      <c r="AP1" s="1">
        <f t="shared" si="1"/>
        <v>1955</v>
      </c>
      <c r="AQ1" s="1">
        <f t="shared" si="1"/>
        <v>1956</v>
      </c>
      <c r="AR1" s="1">
        <f t="shared" si="1"/>
        <v>1957</v>
      </c>
      <c r="AS1" s="1">
        <f t="shared" si="1"/>
        <v>1958</v>
      </c>
      <c r="AT1" s="1">
        <f t="shared" si="1"/>
        <v>1959</v>
      </c>
      <c r="AU1" s="1">
        <f t="shared" si="1"/>
        <v>1960</v>
      </c>
      <c r="AV1" s="1">
        <f t="shared" si="1"/>
        <v>1961</v>
      </c>
      <c r="AW1" s="1">
        <f t="shared" si="1"/>
        <v>1962</v>
      </c>
      <c r="AX1" s="1">
        <f t="shared" si="1"/>
        <v>1963</v>
      </c>
      <c r="AY1" s="1">
        <f t="shared" si="1"/>
        <v>1964</v>
      </c>
      <c r="AZ1" s="1">
        <f t="shared" si="1"/>
        <v>1965</v>
      </c>
      <c r="BA1" s="1">
        <f t="shared" si="1"/>
        <v>1966</v>
      </c>
      <c r="BB1" s="1">
        <f t="shared" si="1"/>
        <v>1967</v>
      </c>
      <c r="BC1" s="1">
        <f t="shared" si="1"/>
        <v>1968</v>
      </c>
      <c r="BD1" s="1">
        <f t="shared" si="1"/>
        <v>1969</v>
      </c>
      <c r="BE1" s="1">
        <f t="shared" si="1"/>
        <v>1970</v>
      </c>
      <c r="BF1" s="1">
        <f t="shared" si="1"/>
        <v>1971</v>
      </c>
      <c r="BG1" s="1">
        <f t="shared" si="1"/>
        <v>1972</v>
      </c>
      <c r="BH1" s="1">
        <f t="shared" si="1"/>
        <v>1973</v>
      </c>
      <c r="BI1" s="1">
        <f t="shared" si="1"/>
        <v>1974</v>
      </c>
      <c r="BJ1" s="1">
        <f t="shared" si="1"/>
        <v>1975</v>
      </c>
      <c r="BK1" s="1">
        <f t="shared" si="1"/>
        <v>1976</v>
      </c>
      <c r="BL1" s="1">
        <f t="shared" si="1"/>
        <v>1977</v>
      </c>
      <c r="BM1" s="1">
        <f t="shared" si="1"/>
        <v>1978</v>
      </c>
      <c r="BN1" s="1">
        <f t="shared" si="1"/>
        <v>1979</v>
      </c>
      <c r="BO1" s="1">
        <f t="shared" ref="BO1:CX1" si="2">BN1+1</f>
        <v>1980</v>
      </c>
      <c r="BP1" s="1">
        <f t="shared" si="2"/>
        <v>1981</v>
      </c>
      <c r="BQ1" s="1">
        <f t="shared" si="2"/>
        <v>1982</v>
      </c>
      <c r="BR1" s="1">
        <f t="shared" si="2"/>
        <v>1983</v>
      </c>
      <c r="BS1" s="1">
        <f t="shared" si="2"/>
        <v>1984</v>
      </c>
      <c r="BT1" s="1">
        <f t="shared" si="2"/>
        <v>1985</v>
      </c>
      <c r="BU1" s="1">
        <f t="shared" si="2"/>
        <v>1986</v>
      </c>
      <c r="BV1" s="1">
        <f t="shared" si="2"/>
        <v>1987</v>
      </c>
      <c r="BW1" s="1">
        <f t="shared" si="2"/>
        <v>1988</v>
      </c>
      <c r="BX1" s="1">
        <f t="shared" si="2"/>
        <v>1989</v>
      </c>
      <c r="BY1" s="1">
        <f t="shared" si="2"/>
        <v>1990</v>
      </c>
      <c r="BZ1" s="1">
        <f t="shared" si="2"/>
        <v>1991</v>
      </c>
      <c r="CA1" s="1">
        <f t="shared" si="2"/>
        <v>1992</v>
      </c>
      <c r="CB1" s="1">
        <f t="shared" si="2"/>
        <v>1993</v>
      </c>
      <c r="CC1" s="1">
        <f t="shared" si="2"/>
        <v>1994</v>
      </c>
      <c r="CD1" s="1">
        <f t="shared" si="2"/>
        <v>1995</v>
      </c>
      <c r="CE1" s="1">
        <f t="shared" si="2"/>
        <v>1996</v>
      </c>
      <c r="CF1" s="1">
        <f t="shared" si="2"/>
        <v>1997</v>
      </c>
      <c r="CG1" s="1">
        <f t="shared" si="2"/>
        <v>1998</v>
      </c>
      <c r="CH1" s="1">
        <f t="shared" si="2"/>
        <v>1999</v>
      </c>
      <c r="CI1" s="1">
        <f t="shared" si="2"/>
        <v>2000</v>
      </c>
      <c r="CJ1" s="1">
        <f t="shared" si="2"/>
        <v>2001</v>
      </c>
      <c r="CK1" s="1">
        <f t="shared" si="2"/>
        <v>2002</v>
      </c>
      <c r="CL1" s="1">
        <f t="shared" si="2"/>
        <v>2003</v>
      </c>
      <c r="CM1" s="1">
        <f t="shared" si="2"/>
        <v>2004</v>
      </c>
      <c r="CN1" s="1">
        <f t="shared" si="2"/>
        <v>2005</v>
      </c>
      <c r="CO1" s="1">
        <f t="shared" si="2"/>
        <v>2006</v>
      </c>
      <c r="CP1" s="1">
        <f t="shared" si="2"/>
        <v>2007</v>
      </c>
      <c r="CQ1" s="1">
        <f t="shared" si="2"/>
        <v>2008</v>
      </c>
      <c r="CR1" s="1">
        <f t="shared" si="2"/>
        <v>2009</v>
      </c>
      <c r="CS1" s="1">
        <f t="shared" si="2"/>
        <v>2010</v>
      </c>
      <c r="CT1" s="1">
        <f t="shared" si="2"/>
        <v>2011</v>
      </c>
      <c r="CU1" s="1">
        <f t="shared" si="2"/>
        <v>2012</v>
      </c>
      <c r="CV1" s="1">
        <f t="shared" si="2"/>
        <v>2013</v>
      </c>
      <c r="CW1" s="1">
        <f t="shared" si="2"/>
        <v>2014</v>
      </c>
      <c r="CX1" s="1">
        <f t="shared" si="2"/>
        <v>2015</v>
      </c>
    </row>
    <row r="2" spans="1:102" x14ac:dyDescent="0.2">
      <c r="A2" s="1" t="s">
        <v>27</v>
      </c>
      <c r="B2" s="1">
        <v>35.4</v>
      </c>
      <c r="C2" s="1">
        <v>35.4</v>
      </c>
      <c r="D2" s="1">
        <v>35.4</v>
      </c>
      <c r="E2" s="1">
        <v>19.399999999999999</v>
      </c>
      <c r="F2" s="1">
        <v>35.4</v>
      </c>
      <c r="G2" s="1">
        <v>35.4</v>
      </c>
      <c r="H2" s="1">
        <v>35.4</v>
      </c>
      <c r="I2" s="1">
        <v>35.4</v>
      </c>
      <c r="J2" s="1">
        <v>35.4</v>
      </c>
      <c r="K2" s="1">
        <v>35.4</v>
      </c>
      <c r="L2" s="1">
        <v>35.4</v>
      </c>
      <c r="M2" s="1">
        <v>35.4</v>
      </c>
      <c r="N2" s="1">
        <v>35.4</v>
      </c>
      <c r="O2" s="1">
        <v>35.4</v>
      </c>
      <c r="P2" s="1">
        <v>35.4</v>
      </c>
      <c r="Q2" s="1">
        <v>36.299999999999997</v>
      </c>
      <c r="R2" s="1">
        <v>37.200000000000003</v>
      </c>
      <c r="S2" s="1">
        <v>38.1</v>
      </c>
      <c r="T2" s="1">
        <v>39</v>
      </c>
      <c r="U2" s="1">
        <v>39.9</v>
      </c>
      <c r="V2" s="1">
        <v>40.700000000000003</v>
      </c>
      <c r="W2" s="1">
        <v>41.6</v>
      </c>
      <c r="X2" s="1">
        <v>42.5</v>
      </c>
      <c r="Y2" s="1">
        <v>43.4</v>
      </c>
      <c r="Z2" s="1">
        <v>43</v>
      </c>
      <c r="AA2" s="1">
        <v>42</v>
      </c>
      <c r="AB2" s="1">
        <v>41.5</v>
      </c>
      <c r="AC2" s="1">
        <v>40</v>
      </c>
      <c r="AD2" s="1">
        <v>37</v>
      </c>
      <c r="AE2" s="1">
        <v>34</v>
      </c>
      <c r="AF2" s="1">
        <v>47</v>
      </c>
      <c r="AG2" s="1">
        <v>50</v>
      </c>
      <c r="AH2" s="1">
        <v>51.5</v>
      </c>
      <c r="AI2" s="1">
        <v>52.4</v>
      </c>
      <c r="AJ2" s="1">
        <v>53.3</v>
      </c>
      <c r="AK2" s="1">
        <v>54.1</v>
      </c>
      <c r="AL2" s="1">
        <v>54.4</v>
      </c>
      <c r="AM2" s="1">
        <v>54.8</v>
      </c>
      <c r="AN2" s="1">
        <v>55.4</v>
      </c>
      <c r="AO2" s="1">
        <v>56.1</v>
      </c>
      <c r="AP2" s="1">
        <v>57</v>
      </c>
      <c r="AQ2" s="1">
        <v>57.9</v>
      </c>
      <c r="AR2" s="1">
        <v>58.9</v>
      </c>
      <c r="AS2" s="1">
        <v>60</v>
      </c>
      <c r="AT2" s="1">
        <v>61.1</v>
      </c>
      <c r="AU2" s="1">
        <v>62.2</v>
      </c>
      <c r="AV2" s="1">
        <v>63.3</v>
      </c>
      <c r="AW2" s="1">
        <v>64.2</v>
      </c>
      <c r="AX2" s="1">
        <v>64.900000000000006</v>
      </c>
      <c r="AY2" s="1">
        <v>65.400000000000006</v>
      </c>
      <c r="AZ2" s="1">
        <v>65.8</v>
      </c>
      <c r="BA2" s="1">
        <v>66.099999999999994</v>
      </c>
      <c r="BB2" s="1">
        <v>66.3</v>
      </c>
      <c r="BC2" s="1">
        <v>66.400000000000006</v>
      </c>
      <c r="BD2" s="1">
        <v>66.599999999999994</v>
      </c>
      <c r="BE2" s="1">
        <v>66.900000000000006</v>
      </c>
      <c r="BF2" s="1">
        <v>67.5</v>
      </c>
      <c r="BG2" s="1">
        <v>68.099999999999994</v>
      </c>
      <c r="BH2" s="1">
        <v>68.7</v>
      </c>
      <c r="BI2" s="1">
        <v>69.3</v>
      </c>
      <c r="BJ2" s="1">
        <v>69.8</v>
      </c>
      <c r="BK2" s="1">
        <v>70.3</v>
      </c>
      <c r="BL2" s="1">
        <v>70.8</v>
      </c>
      <c r="BM2" s="1">
        <v>71.2</v>
      </c>
      <c r="BN2" s="1">
        <v>71.5</v>
      </c>
      <c r="BO2" s="1">
        <v>71.7</v>
      </c>
      <c r="BP2" s="1">
        <v>71.8</v>
      </c>
      <c r="BQ2" s="1">
        <v>72</v>
      </c>
      <c r="BR2" s="1">
        <v>72.099999999999994</v>
      </c>
      <c r="BS2" s="1">
        <v>72.3</v>
      </c>
      <c r="BT2" s="1">
        <v>72.400000000000006</v>
      </c>
      <c r="BU2" s="1">
        <v>72.599999999999994</v>
      </c>
      <c r="BV2" s="1">
        <v>72.599999999999994</v>
      </c>
      <c r="BW2" s="1">
        <v>72.8</v>
      </c>
      <c r="BX2" s="1">
        <v>73.099999999999994</v>
      </c>
      <c r="BY2" s="1">
        <v>73.3</v>
      </c>
      <c r="BZ2" s="1">
        <v>73</v>
      </c>
      <c r="CA2" s="1">
        <v>73.400000000000006</v>
      </c>
      <c r="CB2" s="1">
        <v>73.900000000000006</v>
      </c>
      <c r="CC2" s="1">
        <v>74.5</v>
      </c>
      <c r="CD2" s="1">
        <v>74.599999999999994</v>
      </c>
      <c r="CE2" s="1">
        <v>74.400000000000006</v>
      </c>
      <c r="CF2" s="1">
        <v>72.5</v>
      </c>
      <c r="CG2" s="1">
        <v>74.5</v>
      </c>
      <c r="CH2" s="1">
        <v>74.599999999999994</v>
      </c>
      <c r="CI2" s="1">
        <v>74.900000000000006</v>
      </c>
      <c r="CJ2" s="1">
        <v>75.2</v>
      </c>
      <c r="CK2" s="1">
        <v>75.3</v>
      </c>
      <c r="CL2" s="1">
        <v>75.400000000000006</v>
      </c>
      <c r="CM2" s="1">
        <v>75.599999999999994</v>
      </c>
      <c r="CN2" s="1">
        <v>76</v>
      </c>
      <c r="CO2" s="1">
        <v>76.400000000000006</v>
      </c>
      <c r="CP2" s="1">
        <v>76.900000000000006</v>
      </c>
      <c r="CQ2" s="1">
        <v>77</v>
      </c>
      <c r="CR2" s="1">
        <v>77.5</v>
      </c>
      <c r="CS2" s="1">
        <v>77.599999999999994</v>
      </c>
      <c r="CT2" s="1">
        <v>77.7</v>
      </c>
      <c r="CU2" s="1">
        <v>77.8</v>
      </c>
      <c r="CV2" s="1">
        <v>77.900000000000006</v>
      </c>
      <c r="CW2" s="1">
        <v>77.900000000000006</v>
      </c>
      <c r="CX2" s="1">
        <v>78</v>
      </c>
    </row>
    <row r="3" spans="1:102" x14ac:dyDescent="0.2">
      <c r="A3" s="1" t="s">
        <v>22</v>
      </c>
      <c r="B3" s="1">
        <v>44</v>
      </c>
      <c r="C3" s="1">
        <v>44.1</v>
      </c>
      <c r="D3" s="1">
        <v>44.2</v>
      </c>
      <c r="E3" s="1">
        <v>33.700000000000003</v>
      </c>
      <c r="F3" s="1">
        <v>44.3</v>
      </c>
      <c r="G3" s="1">
        <v>44.4</v>
      </c>
      <c r="H3" s="1">
        <v>44.5</v>
      </c>
      <c r="I3" s="1">
        <v>44.5</v>
      </c>
      <c r="J3" s="1">
        <v>44.6</v>
      </c>
      <c r="K3" s="1">
        <v>44.8</v>
      </c>
      <c r="L3" s="1">
        <v>45.1</v>
      </c>
      <c r="M3" s="1">
        <v>45.3</v>
      </c>
      <c r="N3" s="1">
        <v>46</v>
      </c>
      <c r="O3" s="1">
        <v>46.8</v>
      </c>
      <c r="P3" s="1">
        <v>47.5</v>
      </c>
      <c r="Q3" s="1">
        <v>48.3</v>
      </c>
      <c r="R3" s="1">
        <v>48.8</v>
      </c>
      <c r="S3" s="1">
        <v>49.3</v>
      </c>
      <c r="T3" s="1">
        <v>49.8</v>
      </c>
      <c r="U3" s="1">
        <v>50.3</v>
      </c>
      <c r="V3" s="1">
        <v>50.8</v>
      </c>
      <c r="W3" s="1">
        <v>51.3</v>
      </c>
      <c r="X3" s="1">
        <v>51.8</v>
      </c>
      <c r="Y3" s="1">
        <v>52</v>
      </c>
      <c r="Z3" s="1">
        <v>52.3</v>
      </c>
      <c r="AA3" s="1">
        <v>52.5</v>
      </c>
      <c r="AB3" s="1">
        <v>52.7</v>
      </c>
      <c r="AC3" s="1">
        <v>52</v>
      </c>
      <c r="AD3" s="1">
        <v>51.5</v>
      </c>
      <c r="AE3" s="1">
        <v>50</v>
      </c>
      <c r="AF3" s="1">
        <v>52</v>
      </c>
      <c r="AG3" s="1">
        <v>53.6</v>
      </c>
      <c r="AH3" s="1">
        <v>54.1</v>
      </c>
      <c r="AI3" s="1">
        <v>55.8</v>
      </c>
      <c r="AJ3" s="1">
        <v>57.9</v>
      </c>
      <c r="AK3" s="1">
        <v>61.4</v>
      </c>
      <c r="AL3" s="1">
        <v>60.6</v>
      </c>
      <c r="AM3" s="1">
        <v>59.6</v>
      </c>
      <c r="AN3" s="1">
        <v>64.099999999999994</v>
      </c>
      <c r="AO3" s="1">
        <v>64.400000000000006</v>
      </c>
      <c r="AP3" s="1">
        <v>64.8</v>
      </c>
      <c r="AQ3" s="1">
        <v>65.2</v>
      </c>
      <c r="AR3" s="1">
        <v>66.599999999999994</v>
      </c>
      <c r="AS3" s="1">
        <v>68.7</v>
      </c>
      <c r="AT3" s="1">
        <v>66.599999999999994</v>
      </c>
      <c r="AU3" s="1">
        <v>69.2</v>
      </c>
      <c r="AV3" s="1">
        <v>70.2</v>
      </c>
      <c r="AW3" s="1">
        <v>69.5</v>
      </c>
      <c r="AX3" s="1">
        <v>70.3</v>
      </c>
      <c r="AY3" s="1">
        <v>71.099999999999994</v>
      </c>
      <c r="AZ3" s="1">
        <v>71.3</v>
      </c>
      <c r="BA3" s="1">
        <v>71.2</v>
      </c>
      <c r="BB3" s="1">
        <v>70.400000000000006</v>
      </c>
      <c r="BC3" s="1">
        <v>71.2</v>
      </c>
      <c r="BD3" s="1">
        <v>70.400000000000006</v>
      </c>
      <c r="BE3" s="1">
        <v>71.3</v>
      </c>
      <c r="BF3" s="1">
        <v>71.2</v>
      </c>
      <c r="BG3" s="1">
        <v>71.2</v>
      </c>
      <c r="BH3" s="1">
        <v>71.400000000000006</v>
      </c>
      <c r="BI3" s="1">
        <v>71.400000000000006</v>
      </c>
      <c r="BJ3" s="1">
        <v>71.5</v>
      </c>
      <c r="BK3" s="1">
        <v>71.5</v>
      </c>
      <c r="BL3" s="1">
        <v>71.3</v>
      </c>
      <c r="BM3" s="1">
        <v>71.400000000000006</v>
      </c>
      <c r="BN3" s="1">
        <v>71.5</v>
      </c>
      <c r="BO3" s="1">
        <v>71.5</v>
      </c>
      <c r="BP3" s="1">
        <v>71.599999999999994</v>
      </c>
      <c r="BQ3" s="1">
        <v>71.5</v>
      </c>
      <c r="BR3" s="1">
        <v>71.599999999999994</v>
      </c>
      <c r="BS3" s="1">
        <v>71.599999999999994</v>
      </c>
      <c r="BT3" s="1">
        <v>71.599999999999994</v>
      </c>
      <c r="BU3" s="1">
        <v>71.8</v>
      </c>
      <c r="BV3" s="1">
        <v>71.8</v>
      </c>
      <c r="BW3" s="1">
        <v>71.8</v>
      </c>
      <c r="BX3" s="1">
        <v>71.8</v>
      </c>
      <c r="BY3" s="1">
        <v>71.7</v>
      </c>
      <c r="BZ3" s="1">
        <v>71.900000000000006</v>
      </c>
      <c r="CA3" s="1">
        <v>71.400000000000006</v>
      </c>
      <c r="CB3" s="1">
        <v>71.5</v>
      </c>
      <c r="CC3" s="1">
        <v>70.900000000000006</v>
      </c>
      <c r="CD3" s="1">
        <v>71</v>
      </c>
      <c r="CE3" s="1">
        <v>71</v>
      </c>
      <c r="CF3" s="1">
        <v>70.400000000000006</v>
      </c>
      <c r="CG3" s="1">
        <v>70.900000000000006</v>
      </c>
      <c r="CH3" s="1">
        <v>71.5</v>
      </c>
      <c r="CI3" s="1">
        <v>71.599999999999994</v>
      </c>
      <c r="CJ3" s="1">
        <v>71.900000000000006</v>
      </c>
      <c r="CK3" s="1">
        <v>72.2</v>
      </c>
      <c r="CL3" s="1">
        <v>72.400000000000006</v>
      </c>
      <c r="CM3" s="1">
        <v>72.5</v>
      </c>
      <c r="CN3" s="1">
        <v>72.599999999999994</v>
      </c>
      <c r="CO3" s="1">
        <v>72.7</v>
      </c>
      <c r="CP3" s="1">
        <v>73</v>
      </c>
      <c r="CQ3" s="1">
        <v>73.3</v>
      </c>
      <c r="CR3" s="1">
        <v>73.599999999999994</v>
      </c>
      <c r="CS3" s="1">
        <v>73.8</v>
      </c>
      <c r="CT3" s="1">
        <v>74.099999999999994</v>
      </c>
      <c r="CU3" s="1">
        <v>74.5</v>
      </c>
      <c r="CV3" s="1">
        <v>74.8</v>
      </c>
      <c r="CW3" s="1">
        <v>74.5</v>
      </c>
      <c r="CX3" s="1">
        <v>74.8</v>
      </c>
    </row>
    <row r="4" spans="1:102" x14ac:dyDescent="0.2">
      <c r="A4" s="1" t="s">
        <v>37</v>
      </c>
      <c r="B4" s="1">
        <v>47</v>
      </c>
      <c r="C4" s="1">
        <v>47.6</v>
      </c>
      <c r="D4" s="1">
        <v>48.2</v>
      </c>
      <c r="E4" s="1">
        <v>35.700000000000003</v>
      </c>
      <c r="F4" s="1">
        <v>49.3</v>
      </c>
      <c r="G4" s="1">
        <v>49.9</v>
      </c>
      <c r="H4" s="1">
        <v>50.4</v>
      </c>
      <c r="I4" s="1">
        <v>51</v>
      </c>
      <c r="J4" s="1">
        <v>51.5</v>
      </c>
      <c r="K4" s="1">
        <v>52.1</v>
      </c>
      <c r="L4" s="1">
        <v>52.6</v>
      </c>
      <c r="M4" s="1">
        <v>53.2</v>
      </c>
      <c r="N4" s="1">
        <v>53.8</v>
      </c>
      <c r="O4" s="1">
        <v>54.3</v>
      </c>
      <c r="P4" s="1">
        <v>54.9</v>
      </c>
      <c r="Q4" s="1">
        <v>55.4</v>
      </c>
      <c r="R4" s="1">
        <v>55.9</v>
      </c>
      <c r="S4" s="1">
        <v>56.3</v>
      </c>
      <c r="T4" s="1">
        <v>56.7</v>
      </c>
      <c r="U4" s="1">
        <v>57.1</v>
      </c>
      <c r="V4" s="1">
        <v>57.5</v>
      </c>
      <c r="W4" s="1">
        <v>57.9</v>
      </c>
      <c r="X4" s="1">
        <v>58.3</v>
      </c>
      <c r="Y4" s="1">
        <v>58.8</v>
      </c>
      <c r="Z4" s="1">
        <v>59.1</v>
      </c>
      <c r="AA4" s="1">
        <v>58.9</v>
      </c>
      <c r="AB4" s="1">
        <v>58.6</v>
      </c>
      <c r="AC4" s="1">
        <v>56.7</v>
      </c>
      <c r="AD4" s="1">
        <v>51.9</v>
      </c>
      <c r="AE4" s="1">
        <v>46.8</v>
      </c>
      <c r="AF4" s="1">
        <v>44.8</v>
      </c>
      <c r="AG4" s="1">
        <v>57.9</v>
      </c>
      <c r="AH4" s="1">
        <v>61.8</v>
      </c>
      <c r="AI4" s="1">
        <v>62.8</v>
      </c>
      <c r="AJ4" s="1">
        <v>63.8</v>
      </c>
      <c r="AK4" s="1">
        <v>64.3</v>
      </c>
      <c r="AL4" s="1">
        <v>65.099999999999994</v>
      </c>
      <c r="AM4" s="1">
        <v>66.7</v>
      </c>
      <c r="AN4" s="1">
        <v>67.400000000000006</v>
      </c>
      <c r="AO4" s="1">
        <v>67.900000000000006</v>
      </c>
      <c r="AP4" s="1">
        <v>68.8</v>
      </c>
      <c r="AQ4" s="1">
        <v>69.2</v>
      </c>
      <c r="AR4" s="1">
        <v>68.8</v>
      </c>
      <c r="AS4" s="1">
        <v>69.7</v>
      </c>
      <c r="AT4" s="1">
        <v>69.7</v>
      </c>
      <c r="AU4" s="1">
        <v>70.3</v>
      </c>
      <c r="AV4" s="1">
        <v>70.400000000000006</v>
      </c>
      <c r="AW4" s="1">
        <v>69.7</v>
      </c>
      <c r="AX4" s="1">
        <v>70.2</v>
      </c>
      <c r="AY4" s="1">
        <v>70.400000000000006</v>
      </c>
      <c r="AZ4" s="1">
        <v>70</v>
      </c>
      <c r="BA4" s="1">
        <v>70.3</v>
      </c>
      <c r="BB4" s="1">
        <v>70.2</v>
      </c>
      <c r="BC4" s="1">
        <v>69.7</v>
      </c>
      <c r="BD4" s="1">
        <v>69.2</v>
      </c>
      <c r="BE4" s="1">
        <v>69.3</v>
      </c>
      <c r="BF4" s="1">
        <v>69.400000000000006</v>
      </c>
      <c r="BG4" s="1">
        <v>69.599999999999994</v>
      </c>
      <c r="BH4" s="1">
        <v>69.7</v>
      </c>
      <c r="BI4" s="1">
        <v>69.900000000000006</v>
      </c>
      <c r="BJ4" s="1">
        <v>70.099999999999994</v>
      </c>
      <c r="BK4" s="1">
        <v>70.2</v>
      </c>
      <c r="BL4" s="1">
        <v>70.3</v>
      </c>
      <c r="BM4" s="1">
        <v>70.400000000000006</v>
      </c>
      <c r="BN4" s="1">
        <v>70.400000000000006</v>
      </c>
      <c r="BO4" s="1">
        <v>70.2</v>
      </c>
      <c r="BP4" s="1">
        <v>70.3</v>
      </c>
      <c r="BQ4" s="1">
        <v>70.400000000000006</v>
      </c>
      <c r="BR4" s="1">
        <v>70.400000000000006</v>
      </c>
      <c r="BS4" s="1">
        <v>70.599999999999994</v>
      </c>
      <c r="BT4" s="1">
        <v>70.8</v>
      </c>
      <c r="BU4" s="1">
        <v>70.900000000000006</v>
      </c>
      <c r="BV4" s="1">
        <v>71.099999999999994</v>
      </c>
      <c r="BW4" s="1">
        <v>71.3</v>
      </c>
      <c r="BX4" s="1">
        <v>71.400000000000006</v>
      </c>
      <c r="BY4" s="1">
        <v>71.5</v>
      </c>
      <c r="BZ4" s="1">
        <v>72</v>
      </c>
      <c r="CA4" s="1">
        <v>72.3</v>
      </c>
      <c r="CB4" s="1">
        <v>72.900000000000006</v>
      </c>
      <c r="CC4" s="1">
        <v>73.099999999999994</v>
      </c>
      <c r="CD4" s="1">
        <v>73.3</v>
      </c>
      <c r="CE4" s="1">
        <v>73.900000000000006</v>
      </c>
      <c r="CF4" s="1">
        <v>74</v>
      </c>
      <c r="CG4" s="1">
        <v>74.599999999999994</v>
      </c>
      <c r="CH4" s="1">
        <v>74.8</v>
      </c>
      <c r="CI4" s="1">
        <v>75</v>
      </c>
      <c r="CJ4" s="1">
        <v>75.3</v>
      </c>
      <c r="CK4" s="1">
        <v>75.5</v>
      </c>
      <c r="CL4" s="1">
        <v>75.5</v>
      </c>
      <c r="CM4" s="1">
        <v>76</v>
      </c>
      <c r="CN4" s="1">
        <v>76.3</v>
      </c>
      <c r="CO4" s="1">
        <v>76.8</v>
      </c>
      <c r="CP4" s="1">
        <v>77</v>
      </c>
      <c r="CQ4" s="1">
        <v>77.2</v>
      </c>
      <c r="CR4" s="1">
        <v>77.5</v>
      </c>
      <c r="CS4" s="1">
        <v>77.7</v>
      </c>
      <c r="CT4" s="1">
        <v>77.900000000000006</v>
      </c>
      <c r="CU4" s="1">
        <v>78.099999999999994</v>
      </c>
      <c r="CV4" s="1">
        <v>78.400000000000006</v>
      </c>
      <c r="CW4" s="1">
        <v>78.8</v>
      </c>
      <c r="CX4" s="1">
        <v>78.8</v>
      </c>
    </row>
    <row r="5" spans="1:102" x14ac:dyDescent="0.2">
      <c r="A5" s="1" t="s">
        <v>235</v>
      </c>
      <c r="B5" s="1">
        <v>35.700000000000003</v>
      </c>
      <c r="C5" s="1">
        <v>39.6</v>
      </c>
      <c r="D5" s="1">
        <v>42.6</v>
      </c>
      <c r="E5" s="1">
        <v>34.4</v>
      </c>
      <c r="F5" s="1">
        <v>47.6</v>
      </c>
      <c r="G5" s="1">
        <v>51.7</v>
      </c>
      <c r="H5" s="1">
        <v>52.8</v>
      </c>
      <c r="I5" s="1">
        <v>55</v>
      </c>
      <c r="J5" s="1">
        <v>54.7</v>
      </c>
      <c r="K5" s="1">
        <v>55.4</v>
      </c>
      <c r="L5" s="1">
        <v>54.5</v>
      </c>
      <c r="M5" s="1">
        <v>54.1</v>
      </c>
      <c r="N5" s="1">
        <v>55.9</v>
      </c>
      <c r="O5" s="1">
        <v>55.5</v>
      </c>
      <c r="P5" s="1">
        <v>54.4</v>
      </c>
      <c r="Q5" s="1">
        <v>57</v>
      </c>
      <c r="R5" s="1">
        <v>57</v>
      </c>
      <c r="S5" s="1">
        <v>57.4</v>
      </c>
      <c r="T5" s="1">
        <v>57.8</v>
      </c>
      <c r="U5" s="1">
        <v>58.5</v>
      </c>
      <c r="V5" s="1">
        <v>58.4</v>
      </c>
      <c r="W5" s="1">
        <v>58.9</v>
      </c>
      <c r="X5" s="1">
        <v>59.3</v>
      </c>
      <c r="Y5" s="1">
        <v>59.1</v>
      </c>
      <c r="Z5" s="1">
        <v>59.7</v>
      </c>
      <c r="AA5" s="1">
        <v>49.5</v>
      </c>
      <c r="AB5" s="1">
        <v>57.8</v>
      </c>
      <c r="AC5" s="1">
        <v>57.5</v>
      </c>
      <c r="AD5" s="1">
        <v>53.4</v>
      </c>
      <c r="AE5" s="1">
        <v>47.3</v>
      </c>
      <c r="AF5" s="1">
        <v>55.1</v>
      </c>
      <c r="AG5" s="1">
        <v>62.5</v>
      </c>
      <c r="AH5" s="1">
        <v>64.099999999999994</v>
      </c>
      <c r="AI5" s="1">
        <v>66</v>
      </c>
      <c r="AJ5" s="1">
        <v>65</v>
      </c>
      <c r="AK5" s="1">
        <v>66.5</v>
      </c>
      <c r="AL5" s="1">
        <v>66.3</v>
      </c>
      <c r="AM5" s="1">
        <v>67.5</v>
      </c>
      <c r="AN5" s="1">
        <v>67.5</v>
      </c>
      <c r="AO5" s="1">
        <v>68.400000000000006</v>
      </c>
      <c r="AP5" s="1">
        <v>68.599999999999994</v>
      </c>
      <c r="AQ5" s="1">
        <v>68.7</v>
      </c>
      <c r="AR5" s="1">
        <v>69.099999999999994</v>
      </c>
      <c r="AS5" s="1">
        <v>70.3</v>
      </c>
      <c r="AT5" s="1">
        <v>70.3</v>
      </c>
      <c r="AU5" s="1">
        <v>70.599999999999994</v>
      </c>
      <c r="AV5" s="1">
        <v>71.2</v>
      </c>
      <c r="AW5" s="1">
        <v>70.7</v>
      </c>
      <c r="AX5" s="1">
        <v>70.5</v>
      </c>
      <c r="AY5" s="1">
        <v>71.5</v>
      </c>
      <c r="AZ5" s="1">
        <v>71.3</v>
      </c>
      <c r="BA5" s="1">
        <v>71.7</v>
      </c>
      <c r="BB5" s="1">
        <v>71.7</v>
      </c>
      <c r="BC5" s="1">
        <v>71.7</v>
      </c>
      <c r="BD5" s="1">
        <v>71.5</v>
      </c>
      <c r="BE5" s="1">
        <v>72.3</v>
      </c>
      <c r="BF5" s="1">
        <v>72.5</v>
      </c>
      <c r="BG5" s="1">
        <v>72.7</v>
      </c>
      <c r="BH5" s="1">
        <v>72.900000000000006</v>
      </c>
      <c r="BI5" s="1">
        <v>73.099999999999994</v>
      </c>
      <c r="BJ5" s="1">
        <v>73.099999999999994</v>
      </c>
      <c r="BK5" s="1">
        <v>73.400000000000006</v>
      </c>
      <c r="BL5" s="1">
        <v>73.7</v>
      </c>
      <c r="BM5" s="1">
        <v>74</v>
      </c>
      <c r="BN5" s="1">
        <v>74.3</v>
      </c>
      <c r="BO5" s="1">
        <v>74.5</v>
      </c>
      <c r="BP5" s="1">
        <v>74.7</v>
      </c>
      <c r="BQ5" s="1">
        <v>74.900000000000006</v>
      </c>
      <c r="BR5" s="1">
        <v>75.099999999999994</v>
      </c>
      <c r="BS5" s="1">
        <v>75.5</v>
      </c>
      <c r="BT5" s="1">
        <v>75.7</v>
      </c>
      <c r="BU5" s="1">
        <v>76</v>
      </c>
      <c r="BV5" s="1">
        <v>76.3</v>
      </c>
      <c r="BW5" s="1">
        <v>76.599999999999994</v>
      </c>
      <c r="BX5" s="1">
        <v>76.8</v>
      </c>
      <c r="BY5" s="1">
        <v>77</v>
      </c>
      <c r="BZ5" s="1">
        <v>77.2</v>
      </c>
      <c r="CA5" s="1">
        <v>77.400000000000006</v>
      </c>
      <c r="CB5" s="1">
        <v>77.5</v>
      </c>
      <c r="CC5" s="1">
        <v>77.8</v>
      </c>
      <c r="CD5" s="1">
        <v>78</v>
      </c>
      <c r="CE5" s="1">
        <v>78.3</v>
      </c>
      <c r="CF5" s="1">
        <v>78.7</v>
      </c>
      <c r="CG5" s="1">
        <v>78.599999999999994</v>
      </c>
      <c r="CH5" s="1">
        <v>78.8</v>
      </c>
      <c r="CI5" s="1">
        <v>79.099999999999994</v>
      </c>
      <c r="CJ5" s="1">
        <v>79.2</v>
      </c>
      <c r="CK5" s="1">
        <v>79.400000000000006</v>
      </c>
      <c r="CL5" s="1">
        <v>79.599999999999994</v>
      </c>
      <c r="CM5" s="1">
        <v>80.2</v>
      </c>
      <c r="CN5" s="1">
        <v>80.400000000000006</v>
      </c>
      <c r="CO5" s="1">
        <v>80.7</v>
      </c>
      <c r="CP5" s="1">
        <v>81</v>
      </c>
      <c r="CQ5" s="1">
        <v>81.099999999999994</v>
      </c>
      <c r="CR5" s="1">
        <v>81.2</v>
      </c>
      <c r="CS5" s="1">
        <v>81.400000000000006</v>
      </c>
      <c r="CT5" s="1">
        <v>81.599999999999994</v>
      </c>
      <c r="CU5" s="1">
        <v>81.8</v>
      </c>
      <c r="CV5" s="1">
        <v>82.1</v>
      </c>
      <c r="CW5" s="1">
        <v>82.5</v>
      </c>
      <c r="CX5" s="1">
        <v>82.5</v>
      </c>
    </row>
    <row r="6" spans="1:102" x14ac:dyDescent="0.2">
      <c r="A6" s="1" t="s">
        <v>236</v>
      </c>
      <c r="B6" s="1">
        <v>40.6</v>
      </c>
      <c r="C6" s="1">
        <v>39</v>
      </c>
      <c r="D6" s="1">
        <v>40.1</v>
      </c>
      <c r="E6" s="1">
        <v>33</v>
      </c>
      <c r="F6" s="1">
        <v>48.4</v>
      </c>
      <c r="G6" s="1">
        <v>53.6</v>
      </c>
      <c r="H6" s="1">
        <v>55.1</v>
      </c>
      <c r="I6" s="1">
        <v>55.7</v>
      </c>
      <c r="J6" s="1">
        <v>56.3</v>
      </c>
      <c r="K6" s="1">
        <v>56.9</v>
      </c>
      <c r="L6" s="1">
        <v>57.5</v>
      </c>
      <c r="M6" s="1">
        <v>57.9</v>
      </c>
      <c r="N6" s="1">
        <v>58.3</v>
      </c>
      <c r="O6" s="1">
        <v>58.7</v>
      </c>
      <c r="P6" s="1">
        <v>59.1</v>
      </c>
      <c r="Q6" s="1">
        <v>59.5</v>
      </c>
      <c r="R6" s="1">
        <v>59.9</v>
      </c>
      <c r="S6" s="1">
        <v>60.4</v>
      </c>
      <c r="T6" s="1">
        <v>60.8</v>
      </c>
      <c r="U6" s="1">
        <v>61.2</v>
      </c>
      <c r="V6" s="1">
        <v>61.6</v>
      </c>
      <c r="W6" s="1">
        <v>61.9</v>
      </c>
      <c r="X6" s="1">
        <v>62.2</v>
      </c>
      <c r="Y6" s="1">
        <v>62.5</v>
      </c>
      <c r="Z6" s="1">
        <v>61.1</v>
      </c>
      <c r="AA6" s="1">
        <v>60.8</v>
      </c>
      <c r="AB6" s="1">
        <v>59.1</v>
      </c>
      <c r="AC6" s="1">
        <v>55.1</v>
      </c>
      <c r="AD6" s="1">
        <v>49.8</v>
      </c>
      <c r="AE6" s="1">
        <v>37.1</v>
      </c>
      <c r="AF6" s="1">
        <v>29.1</v>
      </c>
      <c r="AG6" s="1">
        <v>60.6</v>
      </c>
      <c r="AH6" s="1">
        <v>62.2</v>
      </c>
      <c r="AI6" s="1">
        <v>63.8</v>
      </c>
      <c r="AJ6" s="1">
        <v>65.400000000000006</v>
      </c>
      <c r="AK6" s="1">
        <v>67</v>
      </c>
      <c r="AL6" s="1">
        <v>67.2</v>
      </c>
      <c r="AM6" s="1">
        <v>67.5</v>
      </c>
      <c r="AN6" s="1">
        <v>67.8</v>
      </c>
      <c r="AO6" s="1">
        <v>68.099999999999994</v>
      </c>
      <c r="AP6" s="1">
        <v>68.400000000000006</v>
      </c>
      <c r="AQ6" s="1">
        <v>68.7</v>
      </c>
      <c r="AR6" s="1">
        <v>68.599999999999994</v>
      </c>
      <c r="AS6" s="1">
        <v>69.3</v>
      </c>
      <c r="AT6" s="1">
        <v>69.5</v>
      </c>
      <c r="AU6" s="1">
        <v>69.400000000000006</v>
      </c>
      <c r="AV6" s="1">
        <v>70</v>
      </c>
      <c r="AW6" s="1">
        <v>70.099999999999994</v>
      </c>
      <c r="AX6" s="1">
        <v>70.2</v>
      </c>
      <c r="AY6" s="1">
        <v>70.8</v>
      </c>
      <c r="AZ6" s="1">
        <v>70.8</v>
      </c>
      <c r="BA6" s="1">
        <v>70.900000000000006</v>
      </c>
      <c r="BB6" s="1">
        <v>71.099999999999994</v>
      </c>
      <c r="BC6" s="1">
        <v>70.8</v>
      </c>
      <c r="BD6" s="1">
        <v>70.599999999999994</v>
      </c>
      <c r="BE6" s="1">
        <v>70.8</v>
      </c>
      <c r="BF6" s="1">
        <v>70.900000000000006</v>
      </c>
      <c r="BG6" s="1">
        <v>71.2</v>
      </c>
      <c r="BH6" s="1">
        <v>71.400000000000006</v>
      </c>
      <c r="BI6" s="1">
        <v>71.599999999999994</v>
      </c>
      <c r="BJ6" s="1">
        <v>71.8</v>
      </c>
      <c r="BK6" s="1">
        <v>72.2</v>
      </c>
      <c r="BL6" s="1">
        <v>72.5</v>
      </c>
      <c r="BM6" s="1">
        <v>72.7</v>
      </c>
      <c r="BN6" s="1">
        <v>73</v>
      </c>
      <c r="BO6" s="1">
        <v>73.2</v>
      </c>
      <c r="BP6" s="1">
        <v>73.5</v>
      </c>
      <c r="BQ6" s="1">
        <v>73.7</v>
      </c>
      <c r="BR6" s="1">
        <v>74</v>
      </c>
      <c r="BS6" s="1">
        <v>74.3</v>
      </c>
      <c r="BT6" s="1">
        <v>74.5</v>
      </c>
      <c r="BU6" s="1">
        <v>74.7</v>
      </c>
      <c r="BV6" s="1">
        <v>75</v>
      </c>
      <c r="BW6" s="1">
        <v>75.2</v>
      </c>
      <c r="BX6" s="1">
        <v>75.400000000000006</v>
      </c>
      <c r="BY6" s="1">
        <v>75.5</v>
      </c>
      <c r="BZ6" s="1">
        <v>75.7</v>
      </c>
      <c r="CA6" s="1">
        <v>76.099999999999994</v>
      </c>
      <c r="CB6" s="1">
        <v>76.2</v>
      </c>
      <c r="CC6" s="1">
        <v>76.5</v>
      </c>
      <c r="CD6" s="1">
        <v>76.7</v>
      </c>
      <c r="CE6" s="1">
        <v>77</v>
      </c>
      <c r="CF6" s="1">
        <v>77.400000000000006</v>
      </c>
      <c r="CG6" s="1">
        <v>77.8</v>
      </c>
      <c r="CH6" s="1">
        <v>78</v>
      </c>
      <c r="CI6" s="1">
        <v>78.3</v>
      </c>
      <c r="CJ6" s="1">
        <v>78.599999999999994</v>
      </c>
      <c r="CK6" s="1">
        <v>78.7</v>
      </c>
      <c r="CL6" s="1">
        <v>78.8</v>
      </c>
      <c r="CM6" s="1">
        <v>79.400000000000006</v>
      </c>
      <c r="CN6" s="1">
        <v>79.7</v>
      </c>
      <c r="CO6" s="1">
        <v>79.900000000000006</v>
      </c>
      <c r="CP6" s="1">
        <v>80.099999999999994</v>
      </c>
      <c r="CQ6" s="1">
        <v>80.2</v>
      </c>
      <c r="CR6" s="1">
        <v>80.3</v>
      </c>
      <c r="CS6" s="1">
        <v>80.400000000000006</v>
      </c>
      <c r="CT6" s="1">
        <v>80.5</v>
      </c>
      <c r="CU6" s="1">
        <v>80.7</v>
      </c>
      <c r="CV6" s="1">
        <v>80.599999999999994</v>
      </c>
      <c r="CW6" s="1">
        <v>80.900000000000006</v>
      </c>
      <c r="CX6" s="1">
        <v>80.7</v>
      </c>
    </row>
    <row r="7" spans="1:102" x14ac:dyDescent="0.2">
      <c r="A7" s="1" t="s">
        <v>9</v>
      </c>
      <c r="B7" s="1">
        <v>40.9</v>
      </c>
      <c r="C7" s="1">
        <v>41.1</v>
      </c>
      <c r="D7" s="1">
        <v>41.3</v>
      </c>
      <c r="E7" s="1">
        <v>30.1</v>
      </c>
      <c r="F7" s="1">
        <v>41.8</v>
      </c>
      <c r="G7" s="1">
        <v>42</v>
      </c>
      <c r="H7" s="1">
        <v>42.8</v>
      </c>
      <c r="I7" s="1">
        <v>43.6</v>
      </c>
      <c r="J7" s="1">
        <v>44.5</v>
      </c>
      <c r="K7" s="1">
        <v>45.3</v>
      </c>
      <c r="L7" s="1">
        <v>46.1</v>
      </c>
      <c r="M7" s="1">
        <v>46.9</v>
      </c>
      <c r="N7" s="1">
        <v>47.7</v>
      </c>
      <c r="O7" s="1">
        <v>48.5</v>
      </c>
      <c r="P7" s="1">
        <v>49.3</v>
      </c>
      <c r="Q7" s="1">
        <v>50.1</v>
      </c>
      <c r="R7" s="1">
        <v>50.8</v>
      </c>
      <c r="S7" s="1">
        <v>51.5</v>
      </c>
      <c r="T7" s="1">
        <v>52.2</v>
      </c>
      <c r="U7" s="1">
        <v>52.9</v>
      </c>
      <c r="V7" s="1">
        <v>53.5</v>
      </c>
      <c r="W7" s="1">
        <v>54.2</v>
      </c>
      <c r="X7" s="1">
        <v>54.9</v>
      </c>
      <c r="Y7" s="1">
        <v>55.5</v>
      </c>
      <c r="Z7" s="1">
        <v>56.2</v>
      </c>
      <c r="AA7" s="1">
        <v>56.9</v>
      </c>
      <c r="AB7" s="1">
        <v>56.5</v>
      </c>
      <c r="AC7" s="1">
        <v>50.9</v>
      </c>
      <c r="AD7" s="1">
        <v>40.9</v>
      </c>
      <c r="AE7" s="1">
        <v>26</v>
      </c>
      <c r="AF7" s="1">
        <v>46.9</v>
      </c>
      <c r="AG7" s="1">
        <v>54.9</v>
      </c>
      <c r="AH7" s="1">
        <v>58.9</v>
      </c>
      <c r="AI7" s="1">
        <v>60.6</v>
      </c>
      <c r="AJ7" s="1">
        <v>61.2</v>
      </c>
      <c r="AK7" s="1">
        <v>62</v>
      </c>
      <c r="AL7" s="1">
        <v>62.3</v>
      </c>
      <c r="AM7" s="1">
        <v>63.9</v>
      </c>
      <c r="AN7" s="1">
        <v>63.8</v>
      </c>
      <c r="AO7" s="1">
        <v>65.3</v>
      </c>
      <c r="AP7" s="1">
        <v>66.8</v>
      </c>
      <c r="AQ7" s="1">
        <v>65.900000000000006</v>
      </c>
      <c r="AR7" s="1">
        <v>66.3</v>
      </c>
      <c r="AS7" s="1">
        <v>67.3</v>
      </c>
      <c r="AT7" s="1">
        <v>67.2</v>
      </c>
      <c r="AU7" s="1">
        <v>68</v>
      </c>
      <c r="AV7" s="1">
        <v>68.900000000000006</v>
      </c>
      <c r="AW7" s="1">
        <v>67.8</v>
      </c>
      <c r="AX7" s="1">
        <v>68.8</v>
      </c>
      <c r="AY7" s="1">
        <v>69.3</v>
      </c>
      <c r="AZ7" s="1">
        <v>69</v>
      </c>
      <c r="BA7" s="1">
        <v>69.8</v>
      </c>
      <c r="BB7" s="1">
        <v>69.3</v>
      </c>
      <c r="BC7" s="1">
        <v>69.2</v>
      </c>
      <c r="BD7" s="1">
        <v>69.2</v>
      </c>
      <c r="BE7" s="1">
        <v>69.099999999999994</v>
      </c>
      <c r="BF7" s="1">
        <v>69.2</v>
      </c>
      <c r="BG7" s="1">
        <v>69.400000000000006</v>
      </c>
      <c r="BH7" s="1">
        <v>69.400000000000006</v>
      </c>
      <c r="BI7" s="1">
        <v>69.3</v>
      </c>
      <c r="BJ7" s="1">
        <v>69.3</v>
      </c>
      <c r="BK7" s="1">
        <v>69.599999999999994</v>
      </c>
      <c r="BL7" s="1">
        <v>69.7</v>
      </c>
      <c r="BM7" s="1">
        <v>69.599999999999994</v>
      </c>
      <c r="BN7" s="1">
        <v>69.400000000000006</v>
      </c>
      <c r="BO7" s="1">
        <v>69.2</v>
      </c>
      <c r="BP7" s="1">
        <v>69.2</v>
      </c>
      <c r="BQ7" s="1">
        <v>69.099999999999994</v>
      </c>
      <c r="BR7" s="1">
        <v>69.099999999999994</v>
      </c>
      <c r="BS7" s="1">
        <v>69</v>
      </c>
      <c r="BT7" s="1">
        <v>69.099999999999994</v>
      </c>
      <c r="BU7" s="1">
        <v>69.2</v>
      </c>
      <c r="BV7" s="1">
        <v>69.5</v>
      </c>
      <c r="BW7" s="1">
        <v>69.599999999999994</v>
      </c>
      <c r="BX7" s="1">
        <v>69.599999999999994</v>
      </c>
      <c r="BY7" s="1">
        <v>69.5</v>
      </c>
      <c r="BZ7" s="1">
        <v>69.5</v>
      </c>
      <c r="CA7" s="1">
        <v>69.2</v>
      </c>
      <c r="CB7" s="1">
        <v>69.2</v>
      </c>
      <c r="CC7" s="1">
        <v>69.599999999999994</v>
      </c>
      <c r="CD7" s="1">
        <v>70</v>
      </c>
      <c r="CE7" s="1">
        <v>70.7</v>
      </c>
      <c r="CF7" s="1">
        <v>71</v>
      </c>
      <c r="CG7" s="1">
        <v>70.900000000000006</v>
      </c>
      <c r="CH7" s="1">
        <v>71</v>
      </c>
      <c r="CI7" s="1">
        <v>71.8</v>
      </c>
      <c r="CJ7" s="1">
        <v>72.400000000000006</v>
      </c>
      <c r="CK7" s="1">
        <v>72.5</v>
      </c>
      <c r="CL7" s="1">
        <v>72.599999999999994</v>
      </c>
      <c r="CM7" s="1">
        <v>72.900000000000006</v>
      </c>
      <c r="CN7" s="1">
        <v>72.900000000000006</v>
      </c>
      <c r="CO7" s="1">
        <v>73.3</v>
      </c>
      <c r="CP7" s="1">
        <v>73.5</v>
      </c>
      <c r="CQ7" s="1">
        <v>74</v>
      </c>
      <c r="CR7" s="1">
        <v>74.2</v>
      </c>
      <c r="CS7" s="1">
        <v>74.599999999999994</v>
      </c>
      <c r="CT7" s="1">
        <v>74.900000000000006</v>
      </c>
      <c r="CU7" s="1">
        <v>75.2</v>
      </c>
      <c r="CV7" s="1">
        <v>75.7</v>
      </c>
      <c r="CW7" s="1">
        <v>76</v>
      </c>
      <c r="CX7" s="1">
        <v>75.5</v>
      </c>
    </row>
    <row r="8" spans="1:102" x14ac:dyDescent="0.2">
      <c r="A8" s="1" t="s">
        <v>11</v>
      </c>
      <c r="B8" s="1">
        <v>45</v>
      </c>
      <c r="C8" s="1">
        <v>45.3</v>
      </c>
      <c r="D8" s="1">
        <v>45.6</v>
      </c>
      <c r="E8" s="1">
        <v>38.700000000000003</v>
      </c>
      <c r="F8" s="1">
        <v>46.2</v>
      </c>
      <c r="G8" s="1">
        <v>46.5</v>
      </c>
      <c r="H8" s="1">
        <v>46.8</v>
      </c>
      <c r="I8" s="1">
        <v>47.1</v>
      </c>
      <c r="J8" s="1">
        <v>47.5</v>
      </c>
      <c r="K8" s="1">
        <v>47.8</v>
      </c>
      <c r="L8" s="1">
        <v>48.1</v>
      </c>
      <c r="M8" s="1">
        <v>48.4</v>
      </c>
      <c r="N8" s="1">
        <v>48.7</v>
      </c>
      <c r="O8" s="1">
        <v>49</v>
      </c>
      <c r="P8" s="1">
        <v>49.3</v>
      </c>
      <c r="Q8" s="1">
        <v>49.6</v>
      </c>
      <c r="R8" s="1">
        <v>49.9</v>
      </c>
      <c r="S8" s="1">
        <v>50.4</v>
      </c>
      <c r="T8" s="1">
        <v>50.9</v>
      </c>
      <c r="U8" s="1">
        <v>51.4</v>
      </c>
      <c r="V8" s="1">
        <v>51.8</v>
      </c>
      <c r="W8" s="1">
        <v>52.3</v>
      </c>
      <c r="X8" s="1">
        <v>52.8</v>
      </c>
      <c r="Y8" s="1">
        <v>53.3</v>
      </c>
      <c r="Z8" s="1">
        <v>45.1</v>
      </c>
      <c r="AA8" s="1">
        <v>44.8</v>
      </c>
      <c r="AB8" s="1">
        <v>41.2</v>
      </c>
      <c r="AC8" s="1">
        <v>33.5</v>
      </c>
      <c r="AD8" s="1">
        <v>23.6</v>
      </c>
      <c r="AE8" s="1">
        <v>15.4</v>
      </c>
      <c r="AF8" s="1">
        <v>34.4</v>
      </c>
      <c r="AG8" s="1">
        <v>47.1</v>
      </c>
      <c r="AH8" s="1">
        <v>54.1</v>
      </c>
      <c r="AI8" s="1">
        <v>57.1</v>
      </c>
      <c r="AJ8" s="1">
        <v>58.1</v>
      </c>
      <c r="AK8" s="1">
        <v>59.2</v>
      </c>
      <c r="AL8" s="1">
        <v>59.8</v>
      </c>
      <c r="AM8" s="1">
        <v>61</v>
      </c>
      <c r="AN8" s="1">
        <v>62.1</v>
      </c>
      <c r="AO8" s="1">
        <v>63.1</v>
      </c>
      <c r="AP8" s="1">
        <v>64</v>
      </c>
      <c r="AQ8" s="1">
        <v>64.8</v>
      </c>
      <c r="AR8" s="1">
        <v>65.599999999999994</v>
      </c>
      <c r="AS8" s="1">
        <v>66.099999999999994</v>
      </c>
      <c r="AT8" s="1">
        <v>65.7</v>
      </c>
      <c r="AU8" s="1">
        <v>68</v>
      </c>
      <c r="AV8" s="1">
        <v>68.2</v>
      </c>
      <c r="AW8" s="1">
        <v>67.8</v>
      </c>
      <c r="AX8" s="1">
        <v>68.7</v>
      </c>
      <c r="AY8" s="1">
        <v>69</v>
      </c>
      <c r="AZ8" s="1">
        <v>69.7</v>
      </c>
      <c r="BA8" s="1">
        <v>70.099999999999994</v>
      </c>
      <c r="BB8" s="1">
        <v>69.8</v>
      </c>
      <c r="BC8" s="1">
        <v>70.400000000000006</v>
      </c>
      <c r="BD8" s="1">
        <v>69.900000000000006</v>
      </c>
      <c r="BE8" s="1">
        <v>70.099999999999994</v>
      </c>
      <c r="BF8" s="1">
        <v>70.099999999999994</v>
      </c>
      <c r="BG8" s="1">
        <v>70.8</v>
      </c>
      <c r="BH8" s="1">
        <v>71</v>
      </c>
      <c r="BI8" s="1">
        <v>71.400000000000006</v>
      </c>
      <c r="BJ8" s="1">
        <v>71</v>
      </c>
      <c r="BK8" s="1">
        <v>71</v>
      </c>
      <c r="BL8" s="1">
        <v>70.8</v>
      </c>
      <c r="BM8" s="1">
        <v>70.900000000000006</v>
      </c>
      <c r="BN8" s="1">
        <v>71.099999999999994</v>
      </c>
      <c r="BO8" s="1">
        <v>70.7</v>
      </c>
      <c r="BP8" s="1">
        <v>71.400000000000006</v>
      </c>
      <c r="BQ8" s="1">
        <v>71.5</v>
      </c>
      <c r="BR8" s="1">
        <v>71.3</v>
      </c>
      <c r="BS8" s="1">
        <v>71.099999999999994</v>
      </c>
      <c r="BT8" s="1">
        <v>70.900000000000006</v>
      </c>
      <c r="BU8" s="1">
        <v>71.2</v>
      </c>
      <c r="BV8" s="1">
        <v>71.2</v>
      </c>
      <c r="BW8" s="1">
        <v>71.5</v>
      </c>
      <c r="BX8" s="1">
        <v>71.3</v>
      </c>
      <c r="BY8" s="1">
        <v>71.2</v>
      </c>
      <c r="BZ8" s="1">
        <v>70.900000000000006</v>
      </c>
      <c r="CA8" s="1">
        <v>71.3</v>
      </c>
      <c r="CB8" s="1">
        <v>72</v>
      </c>
      <c r="CC8" s="1">
        <v>72</v>
      </c>
      <c r="CD8" s="1">
        <v>72.099999999999994</v>
      </c>
      <c r="CE8" s="1">
        <v>72.599999999999994</v>
      </c>
      <c r="CF8" s="1">
        <v>72.8</v>
      </c>
      <c r="CG8" s="1">
        <v>73.2</v>
      </c>
      <c r="CH8" s="1">
        <v>73.2</v>
      </c>
      <c r="CI8" s="1">
        <v>73.900000000000006</v>
      </c>
      <c r="CJ8" s="1">
        <v>74.3</v>
      </c>
      <c r="CK8" s="1">
        <v>74.7</v>
      </c>
      <c r="CL8" s="1">
        <v>74.900000000000006</v>
      </c>
      <c r="CM8" s="1">
        <v>75</v>
      </c>
      <c r="CN8" s="1">
        <v>75.2</v>
      </c>
      <c r="CO8" s="1">
        <v>75.3</v>
      </c>
      <c r="CP8" s="1">
        <v>75.3</v>
      </c>
      <c r="CQ8" s="1">
        <v>75.599999999999994</v>
      </c>
      <c r="CR8" s="1">
        <v>75.900000000000006</v>
      </c>
      <c r="CS8" s="1">
        <v>76.400000000000006</v>
      </c>
      <c r="CT8" s="1">
        <v>76.7</v>
      </c>
      <c r="CU8" s="1">
        <v>76.8</v>
      </c>
      <c r="CV8" s="1">
        <v>77.099999999999994</v>
      </c>
      <c r="CW8" s="1">
        <v>77.599999999999994</v>
      </c>
      <c r="CX8" s="1">
        <v>77.5</v>
      </c>
    </row>
    <row r="9" spans="1:102" x14ac:dyDescent="0.2">
      <c r="A9" s="1" t="s">
        <v>18</v>
      </c>
      <c r="B9" s="1">
        <v>31.5</v>
      </c>
      <c r="C9" s="1">
        <v>31.5</v>
      </c>
      <c r="D9" s="1">
        <v>29</v>
      </c>
      <c r="E9" s="1">
        <v>23</v>
      </c>
      <c r="F9" s="1">
        <v>25</v>
      </c>
      <c r="G9" s="1">
        <v>20.5</v>
      </c>
      <c r="H9" s="1">
        <v>23.8</v>
      </c>
      <c r="I9" s="1">
        <v>24.7</v>
      </c>
      <c r="J9" s="1">
        <v>33.6</v>
      </c>
      <c r="K9" s="1">
        <v>36.1</v>
      </c>
      <c r="L9" s="1">
        <v>35.200000000000003</v>
      </c>
      <c r="M9" s="1">
        <v>38.4</v>
      </c>
      <c r="N9" s="1">
        <v>37.5</v>
      </c>
      <c r="O9" s="1">
        <v>38.9</v>
      </c>
      <c r="P9" s="1">
        <v>37.4</v>
      </c>
      <c r="Q9" s="1">
        <v>36.5</v>
      </c>
      <c r="R9" s="1">
        <v>35</v>
      </c>
      <c r="S9" s="1">
        <v>32.799999999999997</v>
      </c>
      <c r="T9" s="1">
        <v>17.399999999999999</v>
      </c>
      <c r="U9" s="1">
        <v>38.200000000000003</v>
      </c>
      <c r="V9" s="1">
        <v>39.6</v>
      </c>
      <c r="W9" s="1">
        <v>41.1</v>
      </c>
      <c r="X9" s="1">
        <v>39.9</v>
      </c>
      <c r="Y9" s="1">
        <v>41.4</v>
      </c>
      <c r="Z9" s="1">
        <v>43.6</v>
      </c>
      <c r="AA9" s="1">
        <v>41.2</v>
      </c>
      <c r="AB9" s="1">
        <v>23</v>
      </c>
      <c r="AC9" s="1">
        <v>18</v>
      </c>
      <c r="AD9" s="1">
        <v>16</v>
      </c>
      <c r="AE9" s="1">
        <v>27</v>
      </c>
      <c r="AF9" s="1">
        <v>34</v>
      </c>
      <c r="AG9" s="1">
        <v>46.1</v>
      </c>
      <c r="AH9" s="1">
        <v>40.4</v>
      </c>
      <c r="AI9" s="1">
        <v>52.2</v>
      </c>
      <c r="AJ9" s="1">
        <v>55</v>
      </c>
      <c r="AK9" s="1">
        <v>57.3</v>
      </c>
      <c r="AL9" s="1">
        <v>57.8</v>
      </c>
      <c r="AM9" s="1">
        <v>58.2</v>
      </c>
      <c r="AN9" s="1">
        <v>59</v>
      </c>
      <c r="AO9" s="1">
        <v>61</v>
      </c>
      <c r="AP9" s="1">
        <v>63.4</v>
      </c>
      <c r="AQ9" s="1">
        <v>64.900000000000006</v>
      </c>
      <c r="AR9" s="1">
        <v>64</v>
      </c>
      <c r="AS9" s="1">
        <v>66.900000000000006</v>
      </c>
      <c r="AT9" s="1">
        <v>67.7</v>
      </c>
      <c r="AU9" s="1">
        <v>68.7</v>
      </c>
      <c r="AV9" s="1">
        <v>68.900000000000006</v>
      </c>
      <c r="AW9" s="1">
        <v>68.599999999999994</v>
      </c>
      <c r="AX9" s="1">
        <v>69</v>
      </c>
      <c r="AY9" s="1">
        <v>69.8</v>
      </c>
      <c r="AZ9" s="1">
        <v>69.400000000000006</v>
      </c>
      <c r="BA9" s="1">
        <v>69.5</v>
      </c>
      <c r="BB9" s="1">
        <v>69.3</v>
      </c>
      <c r="BC9" s="1">
        <v>69.3</v>
      </c>
      <c r="BD9" s="1">
        <v>68.7</v>
      </c>
      <c r="BE9" s="1">
        <v>68.900000000000006</v>
      </c>
      <c r="BF9" s="1">
        <v>69</v>
      </c>
      <c r="BG9" s="1">
        <v>68.8</v>
      </c>
      <c r="BH9" s="1">
        <v>69</v>
      </c>
      <c r="BI9" s="1">
        <v>68.8</v>
      </c>
      <c r="BJ9" s="1">
        <v>68.3</v>
      </c>
      <c r="BK9" s="1">
        <v>68</v>
      </c>
      <c r="BL9" s="1">
        <v>68</v>
      </c>
      <c r="BM9" s="1">
        <v>67.900000000000006</v>
      </c>
      <c r="BN9" s="1">
        <v>67.599999999999994</v>
      </c>
      <c r="BO9" s="1">
        <v>67.599999999999994</v>
      </c>
      <c r="BP9" s="1">
        <v>67.900000000000006</v>
      </c>
      <c r="BQ9" s="1">
        <v>68.3</v>
      </c>
      <c r="BR9" s="1">
        <v>68.099999999999994</v>
      </c>
      <c r="BS9" s="1">
        <v>67.8</v>
      </c>
      <c r="BT9" s="1">
        <v>68.5</v>
      </c>
      <c r="BU9" s="1">
        <v>70</v>
      </c>
      <c r="BV9" s="1">
        <v>70.2</v>
      </c>
      <c r="BW9" s="1">
        <v>70.099999999999994</v>
      </c>
      <c r="BX9" s="1">
        <v>69.8</v>
      </c>
      <c r="BY9" s="1">
        <v>69.5</v>
      </c>
      <c r="BZ9" s="1">
        <v>69.3</v>
      </c>
      <c r="CA9" s="1">
        <v>68.2</v>
      </c>
      <c r="CB9" s="1">
        <v>65.5</v>
      </c>
      <c r="CC9" s="1">
        <v>64</v>
      </c>
      <c r="CD9" s="1">
        <v>64.8</v>
      </c>
      <c r="CE9" s="1">
        <v>66</v>
      </c>
      <c r="CF9" s="1">
        <v>67.099999999999994</v>
      </c>
      <c r="CG9" s="1">
        <v>67.400000000000006</v>
      </c>
      <c r="CH9" s="1">
        <v>66.2</v>
      </c>
      <c r="CI9" s="1">
        <v>65.5</v>
      </c>
      <c r="CJ9" s="1">
        <v>65.5</v>
      </c>
      <c r="CK9" s="1">
        <v>65.3</v>
      </c>
      <c r="CL9" s="1">
        <v>65.099999999999994</v>
      </c>
      <c r="CM9" s="1">
        <v>65.3</v>
      </c>
      <c r="CN9" s="1">
        <v>64.8</v>
      </c>
      <c r="CO9" s="1">
        <v>66.3</v>
      </c>
      <c r="CP9" s="1">
        <v>67.3</v>
      </c>
      <c r="CQ9" s="1">
        <v>67.5</v>
      </c>
      <c r="CR9" s="1">
        <v>68.400000000000006</v>
      </c>
      <c r="CS9" s="1">
        <v>68.099999999999994</v>
      </c>
      <c r="CT9" s="1">
        <v>69.8</v>
      </c>
      <c r="CU9" s="1">
        <v>70.2</v>
      </c>
      <c r="CV9" s="1">
        <v>70.7</v>
      </c>
      <c r="CW9" s="1">
        <v>70.8</v>
      </c>
      <c r="CX9" s="1">
        <v>71.3</v>
      </c>
    </row>
    <row r="10" spans="1:102" x14ac:dyDescent="0.2">
      <c r="A10" s="1" t="s">
        <v>4</v>
      </c>
      <c r="B10" s="1">
        <v>42.4</v>
      </c>
      <c r="C10" s="1">
        <v>42.7</v>
      </c>
      <c r="D10" s="1">
        <v>43</v>
      </c>
      <c r="E10" s="1">
        <v>31.9</v>
      </c>
      <c r="F10" s="1">
        <v>43.6</v>
      </c>
      <c r="G10" s="1">
        <v>43.9</v>
      </c>
      <c r="H10" s="1">
        <v>44.2</v>
      </c>
      <c r="I10" s="1">
        <v>44.8</v>
      </c>
      <c r="J10" s="1">
        <v>45.5</v>
      </c>
      <c r="K10" s="1">
        <v>46.1</v>
      </c>
      <c r="L10" s="1">
        <v>46.7</v>
      </c>
      <c r="M10" s="1">
        <v>47.4</v>
      </c>
      <c r="N10" s="1">
        <v>48</v>
      </c>
      <c r="O10" s="1">
        <v>48.6</v>
      </c>
      <c r="P10" s="1">
        <v>49.3</v>
      </c>
      <c r="Q10" s="1">
        <v>49.9</v>
      </c>
      <c r="R10" s="1">
        <v>50.4</v>
      </c>
      <c r="S10" s="1">
        <v>50.8</v>
      </c>
      <c r="T10" s="1">
        <v>51.3</v>
      </c>
      <c r="U10" s="1">
        <v>51.8</v>
      </c>
      <c r="V10" s="1">
        <v>52.3</v>
      </c>
      <c r="W10" s="1">
        <v>52.7</v>
      </c>
      <c r="X10" s="1">
        <v>53.2</v>
      </c>
      <c r="Y10" s="1">
        <v>53.8</v>
      </c>
      <c r="Z10" s="1">
        <v>54.1</v>
      </c>
      <c r="AA10" s="1">
        <v>54</v>
      </c>
      <c r="AB10" s="1">
        <v>53.8</v>
      </c>
      <c r="AC10" s="1">
        <v>52</v>
      </c>
      <c r="AD10" s="1">
        <v>47.5</v>
      </c>
      <c r="AE10" s="1">
        <v>42.5</v>
      </c>
      <c r="AF10" s="1">
        <v>40.5</v>
      </c>
      <c r="AG10" s="1">
        <v>54</v>
      </c>
      <c r="AH10" s="1">
        <v>58</v>
      </c>
      <c r="AI10" s="1">
        <v>59</v>
      </c>
      <c r="AJ10" s="1">
        <v>60.3</v>
      </c>
      <c r="AK10" s="1">
        <v>60.9</v>
      </c>
      <c r="AL10" s="1">
        <v>61.3</v>
      </c>
      <c r="AM10" s="1">
        <v>64.400000000000006</v>
      </c>
      <c r="AN10" s="1">
        <v>65.7</v>
      </c>
      <c r="AO10" s="1">
        <v>66.7</v>
      </c>
      <c r="AP10" s="1">
        <v>67.8</v>
      </c>
      <c r="AQ10" s="1">
        <v>68.400000000000006</v>
      </c>
      <c r="AR10" s="1">
        <v>67.5</v>
      </c>
      <c r="AS10" s="1">
        <v>69.3</v>
      </c>
      <c r="AT10" s="1">
        <v>69</v>
      </c>
      <c r="AU10" s="1">
        <v>70.3</v>
      </c>
      <c r="AV10" s="1">
        <v>70.8</v>
      </c>
      <c r="AW10" s="1">
        <v>70.3</v>
      </c>
      <c r="AX10" s="1">
        <v>70.7</v>
      </c>
      <c r="AY10" s="1">
        <v>71.099999999999994</v>
      </c>
      <c r="AZ10" s="1">
        <v>70.3</v>
      </c>
      <c r="BA10" s="1">
        <v>70.400000000000006</v>
      </c>
      <c r="BB10" s="1">
        <v>71</v>
      </c>
      <c r="BC10" s="1">
        <v>70.5</v>
      </c>
      <c r="BD10" s="1">
        <v>69.8</v>
      </c>
      <c r="BE10" s="1">
        <v>69.7</v>
      </c>
      <c r="BF10" s="1">
        <v>69.8</v>
      </c>
      <c r="BG10" s="1">
        <v>70</v>
      </c>
      <c r="BH10" s="1">
        <v>70</v>
      </c>
      <c r="BI10" s="1">
        <v>70.2</v>
      </c>
      <c r="BJ10" s="1">
        <v>70.3</v>
      </c>
      <c r="BK10" s="1">
        <v>70.400000000000006</v>
      </c>
      <c r="BL10" s="1">
        <v>70.5</v>
      </c>
      <c r="BM10" s="1">
        <v>70.400000000000006</v>
      </c>
      <c r="BN10" s="1">
        <v>70.599999999999994</v>
      </c>
      <c r="BO10" s="1">
        <v>70.5</v>
      </c>
      <c r="BP10" s="1">
        <v>70.599999999999994</v>
      </c>
      <c r="BQ10" s="1">
        <v>70.7</v>
      </c>
      <c r="BR10" s="1">
        <v>70.599999999999994</v>
      </c>
      <c r="BS10" s="1">
        <v>70.7</v>
      </c>
      <c r="BT10" s="1">
        <v>70.7</v>
      </c>
      <c r="BU10" s="1">
        <v>70.900000000000006</v>
      </c>
      <c r="BV10" s="1">
        <v>70.900000000000006</v>
      </c>
      <c r="BW10" s="1">
        <v>71</v>
      </c>
      <c r="BX10" s="1">
        <v>71</v>
      </c>
      <c r="BY10" s="1">
        <v>71</v>
      </c>
      <c r="BZ10" s="1">
        <v>71.099999999999994</v>
      </c>
      <c r="CA10" s="1">
        <v>71.5</v>
      </c>
      <c r="CB10" s="1">
        <v>72</v>
      </c>
      <c r="CC10" s="1">
        <v>72.5</v>
      </c>
      <c r="CD10" s="1">
        <v>72.5</v>
      </c>
      <c r="CE10" s="1">
        <v>73</v>
      </c>
      <c r="CF10" s="1">
        <v>72.8</v>
      </c>
      <c r="CG10" s="1">
        <v>72.8</v>
      </c>
      <c r="CH10" s="1">
        <v>73.099999999999994</v>
      </c>
      <c r="CI10" s="1">
        <v>73.5</v>
      </c>
      <c r="CJ10" s="1">
        <v>73.7</v>
      </c>
      <c r="CK10" s="1">
        <v>73.900000000000006</v>
      </c>
      <c r="CL10" s="1">
        <v>74</v>
      </c>
      <c r="CM10" s="1">
        <v>74.400000000000006</v>
      </c>
      <c r="CN10" s="1">
        <v>74.3</v>
      </c>
      <c r="CO10" s="1">
        <v>74.5</v>
      </c>
      <c r="CP10" s="1">
        <v>74.5</v>
      </c>
      <c r="CQ10" s="1">
        <v>74.900000000000006</v>
      </c>
      <c r="CR10" s="1">
        <v>75.2</v>
      </c>
      <c r="CS10" s="1">
        <v>75.599999999999994</v>
      </c>
      <c r="CT10" s="1">
        <v>75.900000000000006</v>
      </c>
      <c r="CU10" s="1">
        <v>76.2</v>
      </c>
      <c r="CV10" s="1">
        <v>76.599999999999994</v>
      </c>
      <c r="CW10" s="1">
        <v>76.8</v>
      </c>
      <c r="CX10" s="1">
        <v>76.7</v>
      </c>
    </row>
  </sheetData>
  <sortState xmlns:xlrd2="http://schemas.microsoft.com/office/spreadsheetml/2017/richdata2" ref="A2:CX10">
    <sortCondition ref="A2:A1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9FD3-34F1-2D43-A702-89697F2DF2BC}">
  <dimension ref="A1:AJ33"/>
  <sheetViews>
    <sheetView workbookViewId="0">
      <selection activeCell="B61" sqref="B61"/>
    </sheetView>
  </sheetViews>
  <sheetFormatPr baseColWidth="10" defaultRowHeight="16" x14ac:dyDescent="0.2"/>
  <cols>
    <col min="1" max="16384" width="10.83203125" style="1"/>
  </cols>
  <sheetData>
    <row r="1" spans="1:36" x14ac:dyDescent="0.2">
      <c r="B1" s="1">
        <v>1985</v>
      </c>
      <c r="C1" s="1">
        <v>1986</v>
      </c>
      <c r="D1" s="1">
        <v>1987</v>
      </c>
      <c r="E1" s="1">
        <v>1988</v>
      </c>
      <c r="F1" s="1">
        <v>1989</v>
      </c>
      <c r="G1" s="1">
        <v>1990</v>
      </c>
      <c r="H1" s="1">
        <v>1991</v>
      </c>
      <c r="I1" s="1">
        <v>1992</v>
      </c>
      <c r="J1" s="1">
        <v>1993</v>
      </c>
      <c r="K1" s="1">
        <v>1994</v>
      </c>
      <c r="L1" s="1">
        <v>1995</v>
      </c>
      <c r="M1" s="1">
        <v>1996</v>
      </c>
      <c r="N1" s="1">
        <v>1997</v>
      </c>
      <c r="O1" s="1">
        <v>1998</v>
      </c>
      <c r="P1" s="1">
        <v>1999</v>
      </c>
      <c r="Q1" s="1">
        <v>2000</v>
      </c>
      <c r="R1" s="1">
        <v>2001</v>
      </c>
      <c r="S1" s="1">
        <v>2002</v>
      </c>
      <c r="T1" s="1">
        <v>2003</v>
      </c>
      <c r="U1" s="1">
        <v>2004</v>
      </c>
      <c r="V1" s="1">
        <v>2005</v>
      </c>
      <c r="W1" s="1">
        <v>2006</v>
      </c>
      <c r="X1" s="1">
        <v>2007</v>
      </c>
      <c r="Y1" s="1">
        <v>2008</v>
      </c>
      <c r="Z1" s="1">
        <v>2009</v>
      </c>
      <c r="AA1" s="1">
        <v>2010</v>
      </c>
      <c r="AB1" s="1">
        <v>2011</v>
      </c>
      <c r="AC1" s="1">
        <v>2012</v>
      </c>
      <c r="AD1" s="1">
        <v>2013</v>
      </c>
      <c r="AE1" s="1">
        <v>2014</v>
      </c>
      <c r="AF1" s="1">
        <v>2015</v>
      </c>
      <c r="AG1" s="1">
        <v>2016</v>
      </c>
      <c r="AH1" s="1">
        <v>2017</v>
      </c>
      <c r="AI1" s="1">
        <v>2018</v>
      </c>
      <c r="AJ1" s="1">
        <v>2019</v>
      </c>
    </row>
    <row r="2" spans="1:36" x14ac:dyDescent="0.2">
      <c r="A2" s="1" t="s">
        <v>3</v>
      </c>
      <c r="E2" s="1">
        <v>23.2</v>
      </c>
      <c r="F2" s="1">
        <v>23.1</v>
      </c>
      <c r="G2" s="1">
        <v>23.1</v>
      </c>
      <c r="H2" s="1">
        <v>23.2</v>
      </c>
      <c r="I2" s="1">
        <v>23.2</v>
      </c>
      <c r="J2" s="1">
        <v>23.3</v>
      </c>
      <c r="K2" s="1">
        <v>23.5</v>
      </c>
      <c r="L2" s="1">
        <v>23.7</v>
      </c>
      <c r="M2" s="1">
        <v>23.8</v>
      </c>
      <c r="N2" s="1">
        <v>23.9</v>
      </c>
      <c r="O2" s="1">
        <v>24</v>
      </c>
      <c r="P2" s="1">
        <v>24.1</v>
      </c>
      <c r="Q2" s="1">
        <v>24.1</v>
      </c>
      <c r="R2" s="1">
        <v>24.1</v>
      </c>
      <c r="S2" s="1">
        <v>24.1</v>
      </c>
      <c r="T2" s="1">
        <v>24</v>
      </c>
      <c r="U2" s="1">
        <v>24</v>
      </c>
      <c r="V2" s="1">
        <v>24</v>
      </c>
      <c r="W2" s="1">
        <v>24</v>
      </c>
      <c r="X2" s="1">
        <v>24</v>
      </c>
      <c r="Y2" s="1">
        <v>24</v>
      </c>
      <c r="Z2" s="1">
        <v>24</v>
      </c>
      <c r="AA2" s="1">
        <v>24</v>
      </c>
      <c r="AB2" s="1">
        <v>23.9</v>
      </c>
      <c r="AC2" s="1">
        <v>23.8</v>
      </c>
      <c r="AD2" s="1">
        <v>23.7</v>
      </c>
      <c r="AE2" s="1">
        <v>23.6</v>
      </c>
      <c r="AF2" s="1">
        <v>23.4</v>
      </c>
      <c r="AG2" s="1">
        <v>23.3</v>
      </c>
      <c r="AH2" s="1">
        <v>23.2</v>
      </c>
      <c r="AI2" s="1">
        <v>23.2</v>
      </c>
    </row>
    <row r="3" spans="1:36" x14ac:dyDescent="0.2">
      <c r="A3" s="1" t="s">
        <v>4</v>
      </c>
      <c r="E3" s="1">
        <v>18.100000000000001</v>
      </c>
      <c r="F3" s="1">
        <v>17.5</v>
      </c>
      <c r="G3" s="1">
        <v>17.5</v>
      </c>
      <c r="H3" s="1">
        <v>18</v>
      </c>
      <c r="I3" s="1">
        <v>18.8</v>
      </c>
      <c r="J3" s="1">
        <v>19.5</v>
      </c>
      <c r="K3" s="1">
        <v>20.8</v>
      </c>
      <c r="L3" s="1">
        <v>22</v>
      </c>
      <c r="M3" s="1">
        <v>23.3</v>
      </c>
      <c r="N3" s="1">
        <v>23.8</v>
      </c>
      <c r="O3" s="1">
        <v>24.3</v>
      </c>
      <c r="P3" s="1">
        <v>24.7</v>
      </c>
      <c r="Q3" s="1">
        <v>25.2</v>
      </c>
      <c r="R3" s="1">
        <v>25.6</v>
      </c>
      <c r="S3" s="1">
        <v>26</v>
      </c>
      <c r="T3" s="1">
        <v>26.3</v>
      </c>
      <c r="U3" s="1">
        <v>26.5</v>
      </c>
      <c r="V3" s="1">
        <v>26.6</v>
      </c>
      <c r="W3" s="1">
        <v>25.5</v>
      </c>
      <c r="X3" s="1">
        <v>25.2</v>
      </c>
      <c r="Y3" s="1">
        <v>25.1</v>
      </c>
      <c r="Z3" s="1">
        <v>25.5</v>
      </c>
      <c r="AA3" s="1">
        <v>25.5</v>
      </c>
      <c r="AB3" s="1">
        <v>25.2</v>
      </c>
      <c r="AC3" s="1">
        <v>24.8</v>
      </c>
      <c r="AD3" s="1">
        <v>24.9</v>
      </c>
      <c r="AE3" s="1">
        <v>24.4</v>
      </c>
      <c r="AF3" s="1">
        <v>24.2</v>
      </c>
      <c r="AG3" s="1">
        <v>23.7</v>
      </c>
      <c r="AH3" s="1">
        <v>23.3</v>
      </c>
    </row>
    <row r="4" spans="1:36" x14ac:dyDescent="0.2">
      <c r="A4" s="1" t="s">
        <v>5</v>
      </c>
      <c r="E4" s="1">
        <v>20.100000000000001</v>
      </c>
      <c r="F4" s="1">
        <v>19.899999999999999</v>
      </c>
      <c r="G4" s="1">
        <v>20.2</v>
      </c>
      <c r="H4" s="1">
        <v>20.6</v>
      </c>
      <c r="I4" s="1">
        <v>20.9</v>
      </c>
      <c r="J4" s="1">
        <v>21.9</v>
      </c>
      <c r="K4" s="1">
        <v>23</v>
      </c>
      <c r="L4" s="1">
        <v>23.9</v>
      </c>
      <c r="M4" s="1">
        <v>25</v>
      </c>
      <c r="N4" s="1">
        <v>24.7</v>
      </c>
      <c r="O4" s="1">
        <v>24.5</v>
      </c>
      <c r="P4" s="1">
        <v>24.6</v>
      </c>
      <c r="Q4" s="1">
        <v>24.9</v>
      </c>
      <c r="R4" s="1">
        <v>25.1</v>
      </c>
      <c r="S4" s="1">
        <v>25.4</v>
      </c>
      <c r="T4" s="1">
        <v>25.6</v>
      </c>
      <c r="U4" s="1">
        <v>25.7</v>
      </c>
      <c r="V4" s="1">
        <v>25.7</v>
      </c>
      <c r="W4" s="1">
        <v>25.5</v>
      </c>
      <c r="X4" s="1">
        <v>25.3</v>
      </c>
      <c r="Y4" s="1">
        <v>25.2</v>
      </c>
      <c r="Z4" s="1">
        <v>25.2</v>
      </c>
      <c r="AA4" s="1">
        <v>25.3</v>
      </c>
      <c r="AB4" s="1">
        <v>25.2</v>
      </c>
      <c r="AC4" s="1">
        <v>25.1</v>
      </c>
      <c r="AD4" s="1">
        <v>25.2</v>
      </c>
      <c r="AE4" s="1">
        <v>25.2</v>
      </c>
      <c r="AF4" s="1">
        <v>25.1</v>
      </c>
      <c r="AG4" s="1">
        <v>24.9</v>
      </c>
      <c r="AH4" s="1">
        <v>24.6</v>
      </c>
    </row>
    <row r="5" spans="1:36" x14ac:dyDescent="0.2">
      <c r="A5" s="1" t="s">
        <v>6</v>
      </c>
      <c r="D5" s="1">
        <v>22</v>
      </c>
      <c r="E5" s="1">
        <v>21.9</v>
      </c>
      <c r="F5" s="1">
        <v>22.2</v>
      </c>
      <c r="G5" s="1">
        <v>22.5</v>
      </c>
      <c r="H5" s="1">
        <v>23</v>
      </c>
      <c r="I5" s="1">
        <v>23.4</v>
      </c>
      <c r="J5" s="1">
        <v>23.8</v>
      </c>
      <c r="K5" s="1">
        <v>23.6</v>
      </c>
      <c r="L5" s="1">
        <v>23.6</v>
      </c>
      <c r="M5" s="1">
        <v>23.6</v>
      </c>
      <c r="N5" s="1">
        <v>23.4</v>
      </c>
      <c r="O5" s="1">
        <v>23.5</v>
      </c>
      <c r="P5" s="1">
        <v>23.4</v>
      </c>
      <c r="Q5" s="1">
        <v>23.5</v>
      </c>
      <c r="R5" s="1">
        <v>23.5</v>
      </c>
      <c r="S5" s="1">
        <v>23.6</v>
      </c>
      <c r="T5" s="1">
        <v>23.7</v>
      </c>
      <c r="U5" s="1">
        <v>23.6</v>
      </c>
      <c r="V5" s="1">
        <v>24</v>
      </c>
      <c r="W5" s="1">
        <v>23.8</v>
      </c>
      <c r="X5" s="1">
        <v>23.5</v>
      </c>
      <c r="Y5" s="1">
        <v>23.6</v>
      </c>
      <c r="Z5" s="1">
        <v>24.3</v>
      </c>
      <c r="AA5" s="1">
        <v>24.7</v>
      </c>
      <c r="AB5" s="1">
        <v>24.9</v>
      </c>
      <c r="AC5" s="1">
        <v>25.6</v>
      </c>
      <c r="AD5" s="1">
        <v>25.5</v>
      </c>
      <c r="AE5" s="1">
        <v>25.3</v>
      </c>
      <c r="AF5" s="1">
        <v>25.2</v>
      </c>
      <c r="AG5" s="1">
        <v>24.7</v>
      </c>
      <c r="AH5" s="1">
        <v>24.5</v>
      </c>
    </row>
    <row r="6" spans="1:36" x14ac:dyDescent="0.2">
      <c r="A6" s="1" t="s">
        <v>7</v>
      </c>
      <c r="E6" s="1">
        <v>28.6</v>
      </c>
      <c r="F6" s="1">
        <v>28.6</v>
      </c>
      <c r="G6" s="1">
        <v>28.7</v>
      </c>
      <c r="H6" s="1">
        <v>28.8</v>
      </c>
      <c r="I6" s="1">
        <v>28.9</v>
      </c>
      <c r="J6" s="1">
        <v>29.1</v>
      </c>
      <c r="K6" s="1">
        <v>29.1</v>
      </c>
      <c r="L6" s="1">
        <v>29.2</v>
      </c>
      <c r="M6" s="1">
        <v>29.3</v>
      </c>
      <c r="N6" s="1">
        <v>29.3</v>
      </c>
      <c r="O6" s="1">
        <v>29.3</v>
      </c>
      <c r="P6" s="1">
        <v>29.3</v>
      </c>
      <c r="Q6" s="1">
        <v>29.3</v>
      </c>
      <c r="R6" s="1">
        <v>29.3</v>
      </c>
      <c r="S6" s="1">
        <v>29.2</v>
      </c>
      <c r="T6" s="1">
        <v>29</v>
      </c>
      <c r="U6" s="1">
        <v>28.8</v>
      </c>
      <c r="V6" s="1">
        <v>28.5</v>
      </c>
      <c r="W6" s="1">
        <v>28.2</v>
      </c>
      <c r="X6" s="1">
        <v>27.9</v>
      </c>
      <c r="Y6" s="1">
        <v>27.6</v>
      </c>
      <c r="Z6" s="1">
        <v>27.3</v>
      </c>
      <c r="AA6" s="1">
        <v>27</v>
      </c>
      <c r="AB6" s="1">
        <v>26.8</v>
      </c>
      <c r="AC6" s="1">
        <v>26.7</v>
      </c>
      <c r="AD6" s="1">
        <v>26.6</v>
      </c>
      <c r="AE6" s="1">
        <v>26.4</v>
      </c>
      <c r="AF6" s="1">
        <v>26.4</v>
      </c>
      <c r="AG6" s="1">
        <v>26.3</v>
      </c>
      <c r="AH6" s="1">
        <v>26.3</v>
      </c>
      <c r="AI6" s="1">
        <v>26.4</v>
      </c>
      <c r="AJ6" s="1">
        <v>26.3</v>
      </c>
    </row>
    <row r="7" spans="1:36" x14ac:dyDescent="0.2">
      <c r="A7" s="1" t="s">
        <v>8</v>
      </c>
      <c r="B7" s="1">
        <v>26.4</v>
      </c>
      <c r="C7" s="1">
        <v>26.1</v>
      </c>
      <c r="D7" s="1">
        <v>25.9</v>
      </c>
      <c r="E7" s="1">
        <v>25.7</v>
      </c>
      <c r="F7" s="1">
        <v>25.6</v>
      </c>
      <c r="G7" s="1">
        <v>25.9</v>
      </c>
      <c r="H7" s="1">
        <v>26.3</v>
      </c>
      <c r="I7" s="1">
        <v>27.1</v>
      </c>
      <c r="J7" s="1">
        <v>28</v>
      </c>
      <c r="K7" s="1">
        <v>28.9</v>
      </c>
      <c r="L7" s="1">
        <v>29.8</v>
      </c>
      <c r="M7" s="1">
        <v>29.9</v>
      </c>
      <c r="N7" s="1">
        <v>29.8</v>
      </c>
      <c r="O7" s="1">
        <v>29.8</v>
      </c>
      <c r="P7" s="1">
        <v>29.7</v>
      </c>
      <c r="Q7" s="1">
        <v>29.7</v>
      </c>
      <c r="R7" s="1">
        <v>29.5</v>
      </c>
      <c r="S7" s="1">
        <v>29.3</v>
      </c>
      <c r="T7" s="1">
        <v>29.1</v>
      </c>
      <c r="U7" s="1">
        <v>29</v>
      </c>
      <c r="V7" s="1">
        <v>28.8</v>
      </c>
      <c r="W7" s="1">
        <v>28.5</v>
      </c>
      <c r="X7" s="1">
        <v>28.2</v>
      </c>
      <c r="Y7" s="1">
        <v>27.9</v>
      </c>
      <c r="Z7" s="1">
        <v>27.6</v>
      </c>
      <c r="AA7" s="1">
        <v>27.4</v>
      </c>
      <c r="AB7" s="1">
        <v>27.2</v>
      </c>
      <c r="AC7" s="1">
        <v>27.1</v>
      </c>
      <c r="AD7" s="1">
        <v>27</v>
      </c>
      <c r="AE7" s="1">
        <v>27</v>
      </c>
      <c r="AF7" s="1">
        <v>27</v>
      </c>
      <c r="AG7" s="1">
        <v>27</v>
      </c>
      <c r="AH7" s="1">
        <v>27</v>
      </c>
      <c r="AI7" s="1">
        <v>27</v>
      </c>
    </row>
    <row r="8" spans="1:36" x14ac:dyDescent="0.2">
      <c r="A8" s="1" t="s">
        <v>9</v>
      </c>
      <c r="B8" s="1">
        <v>21.7</v>
      </c>
      <c r="C8" s="1">
        <v>21.7</v>
      </c>
      <c r="D8" s="1">
        <v>21.8</v>
      </c>
      <c r="E8" s="1">
        <v>22.2</v>
      </c>
      <c r="F8" s="1">
        <v>22.7</v>
      </c>
      <c r="G8" s="1">
        <v>24</v>
      </c>
      <c r="H8" s="1">
        <v>25.3</v>
      </c>
      <c r="I8" s="1">
        <v>26.1</v>
      </c>
      <c r="J8" s="1">
        <v>26.5</v>
      </c>
      <c r="K8" s="1">
        <v>27.5</v>
      </c>
      <c r="L8" s="1">
        <v>27.5</v>
      </c>
      <c r="M8" s="1">
        <v>27.5</v>
      </c>
      <c r="N8" s="1">
        <v>27.3</v>
      </c>
      <c r="O8" s="1">
        <v>27.3</v>
      </c>
      <c r="P8" s="1">
        <v>27.5</v>
      </c>
      <c r="Q8" s="1">
        <v>27.4</v>
      </c>
      <c r="R8" s="1">
        <v>27.4</v>
      </c>
      <c r="S8" s="1">
        <v>27.5</v>
      </c>
      <c r="T8" s="1">
        <v>27.9</v>
      </c>
      <c r="U8" s="1">
        <v>27.9</v>
      </c>
      <c r="V8" s="1">
        <v>27.7</v>
      </c>
      <c r="W8" s="1">
        <v>27.3</v>
      </c>
      <c r="X8" s="1">
        <v>27</v>
      </c>
      <c r="Y8" s="1">
        <v>26.6</v>
      </c>
      <c r="Z8" s="1">
        <v>26.9</v>
      </c>
      <c r="AA8" s="1">
        <v>27.2</v>
      </c>
      <c r="AB8" s="1">
        <v>27.4</v>
      </c>
      <c r="AC8" s="1">
        <v>27.8</v>
      </c>
      <c r="AD8" s="1">
        <v>28.1</v>
      </c>
      <c r="AE8" s="1">
        <v>27.9</v>
      </c>
      <c r="AF8" s="1">
        <v>27.7</v>
      </c>
      <c r="AG8" s="1">
        <v>27.8</v>
      </c>
      <c r="AH8" s="1">
        <v>28</v>
      </c>
      <c r="AI8" s="1">
        <v>28</v>
      </c>
    </row>
    <row r="9" spans="1:36" x14ac:dyDescent="0.2">
      <c r="A9" s="1" t="s">
        <v>10</v>
      </c>
      <c r="T9" s="1">
        <v>29.1</v>
      </c>
      <c r="U9" s="1">
        <v>29</v>
      </c>
      <c r="V9" s="1">
        <v>29</v>
      </c>
      <c r="W9" s="1">
        <v>28.9</v>
      </c>
      <c r="X9" s="1">
        <v>28.8</v>
      </c>
      <c r="Y9" s="1">
        <v>28.8</v>
      </c>
      <c r="Z9" s="1">
        <v>28.7</v>
      </c>
      <c r="AA9" s="1">
        <v>28.6</v>
      </c>
      <c r="AB9" s="1">
        <v>28.5</v>
      </c>
      <c r="AC9" s="1">
        <v>28.4</v>
      </c>
      <c r="AD9" s="1">
        <v>28.3</v>
      </c>
      <c r="AE9" s="1">
        <v>28.2</v>
      </c>
      <c r="AF9" s="1">
        <v>28.2</v>
      </c>
      <c r="AG9" s="1">
        <v>28.2</v>
      </c>
      <c r="AH9" s="1">
        <v>28.2</v>
      </c>
    </row>
    <row r="10" spans="1:36" x14ac:dyDescent="0.2">
      <c r="A10" s="1" t="s">
        <v>11</v>
      </c>
      <c r="B10" s="1">
        <v>24.6</v>
      </c>
      <c r="C10" s="1">
        <v>25.6</v>
      </c>
      <c r="D10" s="1">
        <v>24.5</v>
      </c>
      <c r="E10" s="1">
        <v>24.3</v>
      </c>
      <c r="F10" s="1">
        <v>24.2</v>
      </c>
      <c r="G10" s="1">
        <v>24</v>
      </c>
      <c r="H10" s="1">
        <v>24.3</v>
      </c>
      <c r="I10" s="1">
        <v>25.7</v>
      </c>
      <c r="J10" s="1">
        <v>26.9</v>
      </c>
      <c r="K10" s="1">
        <v>28.2</v>
      </c>
      <c r="L10" s="1">
        <v>29.8</v>
      </c>
      <c r="M10" s="1">
        <v>28.8</v>
      </c>
      <c r="N10" s="1">
        <v>28.8</v>
      </c>
      <c r="O10" s="1">
        <v>28.7</v>
      </c>
      <c r="P10" s="1">
        <v>28.8</v>
      </c>
      <c r="Q10" s="1">
        <v>29.2</v>
      </c>
      <c r="R10" s="1">
        <v>29.5</v>
      </c>
      <c r="S10" s="1">
        <v>30</v>
      </c>
      <c r="T10" s="1">
        <v>30.8</v>
      </c>
      <c r="U10" s="1">
        <v>31.5</v>
      </c>
      <c r="V10" s="1">
        <v>31.9</v>
      </c>
      <c r="W10" s="1">
        <v>31.5</v>
      </c>
      <c r="X10" s="1">
        <v>31.1</v>
      </c>
      <c r="Y10" s="1">
        <v>30.9</v>
      </c>
      <c r="Z10" s="1">
        <v>30.7</v>
      </c>
      <c r="AA10" s="1">
        <v>30.9</v>
      </c>
      <c r="AB10" s="1">
        <v>30.6</v>
      </c>
      <c r="AC10" s="1">
        <v>30.6</v>
      </c>
      <c r="AD10" s="1">
        <v>31.1</v>
      </c>
      <c r="AE10" s="1">
        <v>30.2</v>
      </c>
      <c r="AF10" s="1">
        <v>29.5</v>
      </c>
      <c r="AG10" s="1">
        <v>28.9</v>
      </c>
      <c r="AH10" s="1">
        <v>28.4</v>
      </c>
      <c r="AI10" s="1">
        <v>28.4</v>
      </c>
    </row>
    <row r="11" spans="1:36" x14ac:dyDescent="0.2">
      <c r="A11" s="1" t="s">
        <v>12</v>
      </c>
      <c r="E11" s="1">
        <v>28.8</v>
      </c>
      <c r="F11" s="1">
        <v>28.9</v>
      </c>
      <c r="G11" s="1">
        <v>28.8</v>
      </c>
      <c r="H11" s="1">
        <v>28.7</v>
      </c>
      <c r="I11" s="1">
        <v>28.7</v>
      </c>
      <c r="J11" s="1">
        <v>28.7</v>
      </c>
      <c r="K11" s="1">
        <v>28.6</v>
      </c>
      <c r="L11" s="1">
        <v>28.6</v>
      </c>
      <c r="M11" s="1">
        <v>28.6</v>
      </c>
      <c r="N11" s="1">
        <v>28.5</v>
      </c>
      <c r="O11" s="1">
        <v>28.5</v>
      </c>
      <c r="P11" s="1">
        <v>28.3</v>
      </c>
      <c r="Q11" s="1">
        <v>28</v>
      </c>
      <c r="R11" s="1">
        <v>27.8</v>
      </c>
      <c r="S11" s="1">
        <v>27.6</v>
      </c>
      <c r="T11" s="1">
        <v>27.4</v>
      </c>
      <c r="U11" s="1">
        <v>27.4</v>
      </c>
      <c r="V11" s="1">
        <v>27.3</v>
      </c>
      <c r="W11" s="1">
        <v>27.5</v>
      </c>
      <c r="X11" s="1">
        <v>27.7</v>
      </c>
      <c r="Y11" s="1">
        <v>28.1</v>
      </c>
      <c r="Z11" s="1">
        <v>28.5</v>
      </c>
      <c r="AA11" s="1">
        <v>28.9</v>
      </c>
      <c r="AB11" s="1">
        <v>29.2</v>
      </c>
      <c r="AC11" s="1">
        <v>29.3</v>
      </c>
      <c r="AD11" s="1">
        <v>29.5</v>
      </c>
      <c r="AE11" s="1">
        <v>29.6</v>
      </c>
      <c r="AF11" s="1">
        <v>29.6</v>
      </c>
      <c r="AG11" s="1">
        <v>29.6</v>
      </c>
      <c r="AH11" s="1">
        <v>29.6</v>
      </c>
    </row>
    <row r="12" spans="1:36" x14ac:dyDescent="0.2">
      <c r="A12" s="1" t="s">
        <v>13</v>
      </c>
      <c r="E12" s="1">
        <v>28.7</v>
      </c>
      <c r="F12" s="1">
        <v>29.1</v>
      </c>
      <c r="G12" s="1">
        <v>29.7</v>
      </c>
      <c r="H12" s="1">
        <v>30.6</v>
      </c>
      <c r="I12" s="1">
        <v>31.7</v>
      </c>
      <c r="J12" s="1">
        <v>32.6</v>
      </c>
      <c r="K12" s="1">
        <v>33.200000000000003</v>
      </c>
      <c r="L12" s="1">
        <v>33.6</v>
      </c>
      <c r="M12" s="1">
        <v>34</v>
      </c>
      <c r="N12" s="1">
        <v>34.4</v>
      </c>
      <c r="O12" s="1">
        <v>34.799999999999997</v>
      </c>
      <c r="P12" s="1">
        <v>35</v>
      </c>
      <c r="Q12" s="1">
        <v>35</v>
      </c>
      <c r="R12" s="1">
        <v>34.700000000000003</v>
      </c>
      <c r="S12" s="1">
        <v>34.5</v>
      </c>
      <c r="T12" s="1">
        <v>34.4</v>
      </c>
      <c r="U12" s="1">
        <v>34</v>
      </c>
      <c r="V12" s="1">
        <v>33.5</v>
      </c>
      <c r="W12" s="1">
        <v>33</v>
      </c>
      <c r="X12" s="1">
        <v>32.200000000000003</v>
      </c>
      <c r="Y12" s="1">
        <v>31.9</v>
      </c>
      <c r="Z12" s="1">
        <v>31.9</v>
      </c>
      <c r="AA12" s="1">
        <v>32.200000000000003</v>
      </c>
      <c r="AB12" s="1">
        <v>32.6</v>
      </c>
      <c r="AC12" s="1">
        <v>32.9</v>
      </c>
      <c r="AD12" s="1">
        <v>33.200000000000003</v>
      </c>
      <c r="AE12" s="1">
        <v>33</v>
      </c>
      <c r="AF12" s="1">
        <v>32.4</v>
      </c>
      <c r="AG12" s="1">
        <v>31.8</v>
      </c>
      <c r="AH12" s="1">
        <v>31.4</v>
      </c>
    </row>
    <row r="13" spans="1:36" x14ac:dyDescent="0.2">
      <c r="A13" s="1" t="s">
        <v>14</v>
      </c>
      <c r="E13" s="1">
        <v>31.9</v>
      </c>
      <c r="F13" s="1">
        <v>32</v>
      </c>
      <c r="G13" s="1">
        <v>32.299999999999997</v>
      </c>
      <c r="H13" s="1">
        <v>32.700000000000003</v>
      </c>
      <c r="I13" s="1">
        <v>33.200000000000003</v>
      </c>
      <c r="J13" s="1">
        <v>34.1</v>
      </c>
      <c r="K13" s="1">
        <v>35</v>
      </c>
      <c r="L13" s="1">
        <v>35.5</v>
      </c>
      <c r="M13" s="1">
        <v>36.1</v>
      </c>
      <c r="N13" s="1">
        <v>36.5</v>
      </c>
      <c r="O13" s="1">
        <v>36.5</v>
      </c>
      <c r="P13" s="1">
        <v>36.200000000000003</v>
      </c>
      <c r="Q13" s="1">
        <v>35.799999999999997</v>
      </c>
      <c r="R13" s="1">
        <v>35.4</v>
      </c>
      <c r="S13" s="1">
        <v>35.1</v>
      </c>
      <c r="T13" s="1">
        <v>35</v>
      </c>
      <c r="U13" s="1">
        <v>35.1</v>
      </c>
      <c r="V13" s="1">
        <v>35.1</v>
      </c>
      <c r="W13" s="1">
        <v>35.1</v>
      </c>
      <c r="X13" s="1">
        <v>34.9</v>
      </c>
      <c r="Y13" s="1">
        <v>34.5</v>
      </c>
      <c r="Z13" s="1">
        <v>34.299999999999997</v>
      </c>
      <c r="AA13" s="1">
        <v>34</v>
      </c>
      <c r="AB13" s="1">
        <v>33.799999999999997</v>
      </c>
      <c r="AC13" s="1">
        <v>33.6</v>
      </c>
      <c r="AD13" s="1">
        <v>33.5</v>
      </c>
      <c r="AE13" s="1">
        <v>33.4</v>
      </c>
      <c r="AF13" s="1">
        <v>33.200000000000003</v>
      </c>
      <c r="AG13" s="1">
        <v>33.1</v>
      </c>
      <c r="AH13" s="1">
        <v>33</v>
      </c>
      <c r="AI13" s="1">
        <v>33</v>
      </c>
    </row>
    <row r="14" spans="1:36" x14ac:dyDescent="0.2">
      <c r="A14" s="1" t="s">
        <v>15</v>
      </c>
      <c r="K14" s="1">
        <v>31</v>
      </c>
      <c r="L14" s="1">
        <v>31</v>
      </c>
      <c r="M14" s="1">
        <v>31.2</v>
      </c>
      <c r="N14" s="1">
        <v>31.3</v>
      </c>
      <c r="O14" s="1">
        <v>31.5</v>
      </c>
      <c r="P14" s="1">
        <v>31.9</v>
      </c>
      <c r="Q14" s="1">
        <v>32.200000000000003</v>
      </c>
      <c r="R14" s="1">
        <v>32.6</v>
      </c>
      <c r="S14" s="1">
        <v>33</v>
      </c>
      <c r="T14" s="1">
        <v>33.4</v>
      </c>
      <c r="U14" s="1">
        <v>33.799999999999997</v>
      </c>
      <c r="V14" s="1">
        <v>34.1</v>
      </c>
      <c r="W14" s="1">
        <v>34.4</v>
      </c>
      <c r="X14" s="1">
        <v>34.6</v>
      </c>
      <c r="Y14" s="1">
        <v>34.700000000000003</v>
      </c>
      <c r="Z14" s="1">
        <v>34.799999999999997</v>
      </c>
      <c r="AA14" s="1">
        <v>34.6</v>
      </c>
      <c r="AB14" s="1">
        <v>34.4</v>
      </c>
      <c r="AC14" s="1">
        <v>34.200000000000003</v>
      </c>
      <c r="AD14" s="1">
        <v>33.9</v>
      </c>
      <c r="AE14" s="1">
        <v>33.6</v>
      </c>
      <c r="AF14" s="1">
        <v>33.299999999999997</v>
      </c>
      <c r="AG14" s="1">
        <v>33.200000000000003</v>
      </c>
      <c r="AH14" s="1">
        <v>33.1</v>
      </c>
    </row>
    <row r="15" spans="1:36" x14ac:dyDescent="0.2">
      <c r="A15" s="1" t="s">
        <v>16</v>
      </c>
      <c r="E15" s="1">
        <v>33.799999999999997</v>
      </c>
      <c r="F15" s="1">
        <v>34.1</v>
      </c>
      <c r="G15" s="1">
        <v>34.5</v>
      </c>
      <c r="H15" s="1">
        <v>35</v>
      </c>
      <c r="I15" s="1">
        <v>35.5</v>
      </c>
      <c r="J15" s="1">
        <v>36</v>
      </c>
      <c r="K15" s="1">
        <v>36.5</v>
      </c>
      <c r="L15" s="1">
        <v>37.1</v>
      </c>
      <c r="M15" s="1">
        <v>37.6</v>
      </c>
      <c r="N15" s="1">
        <v>38.1</v>
      </c>
      <c r="O15" s="1">
        <v>38.5</v>
      </c>
      <c r="P15" s="1">
        <v>38.6</v>
      </c>
      <c r="Q15" s="1">
        <v>38.6</v>
      </c>
      <c r="R15" s="1">
        <v>38.6</v>
      </c>
      <c r="S15" s="1">
        <v>38.4</v>
      </c>
      <c r="T15" s="1">
        <v>38.1</v>
      </c>
      <c r="U15" s="1">
        <v>37.9</v>
      </c>
      <c r="V15" s="1">
        <v>37.700000000000003</v>
      </c>
      <c r="W15" s="1">
        <v>37.5</v>
      </c>
      <c r="X15" s="1">
        <v>37.200000000000003</v>
      </c>
      <c r="Y15" s="1">
        <v>36.799999999999997</v>
      </c>
      <c r="Z15" s="1">
        <v>36.4</v>
      </c>
      <c r="AA15" s="1">
        <v>35.9</v>
      </c>
      <c r="AB15" s="1">
        <v>35.4</v>
      </c>
      <c r="AC15" s="1">
        <v>34.9</v>
      </c>
      <c r="AD15" s="1">
        <v>34.299999999999997</v>
      </c>
      <c r="AE15" s="1">
        <v>33.700000000000003</v>
      </c>
      <c r="AF15" s="1">
        <v>33.4</v>
      </c>
      <c r="AG15" s="1">
        <v>33.1</v>
      </c>
      <c r="AH15" s="1">
        <v>33</v>
      </c>
      <c r="AI15" s="1">
        <v>32.9</v>
      </c>
    </row>
    <row r="16" spans="1:36" x14ac:dyDescent="0.2">
      <c r="A16" s="1" t="s">
        <v>17</v>
      </c>
      <c r="F16" s="1">
        <v>22.1</v>
      </c>
      <c r="G16" s="1">
        <v>21.9</v>
      </c>
      <c r="H16" s="1">
        <v>22.6</v>
      </c>
      <c r="I16" s="1">
        <v>23.5</v>
      </c>
      <c r="J16" s="1">
        <v>24.7</v>
      </c>
      <c r="K16" s="1">
        <v>25.9</v>
      </c>
      <c r="L16" s="1">
        <v>27.2</v>
      </c>
      <c r="M16" s="1">
        <v>27.5</v>
      </c>
      <c r="N16" s="1">
        <v>27.7</v>
      </c>
      <c r="O16" s="1">
        <v>28.1</v>
      </c>
      <c r="P16" s="1">
        <v>28.4</v>
      </c>
      <c r="Q16" s="1">
        <v>28.9</v>
      </c>
      <c r="R16" s="1">
        <v>29.3</v>
      </c>
      <c r="S16" s="1">
        <v>29.8</v>
      </c>
      <c r="T16" s="1">
        <v>30.5</v>
      </c>
      <c r="U16" s="1">
        <v>31.2</v>
      </c>
      <c r="V16" s="1">
        <v>32</v>
      </c>
      <c r="W16" s="1">
        <v>32.9</v>
      </c>
      <c r="X16" s="1">
        <v>33</v>
      </c>
      <c r="Y16" s="1">
        <v>32.799999999999997</v>
      </c>
      <c r="Z16" s="1">
        <v>32.6</v>
      </c>
      <c r="AA16" s="1">
        <v>32.6</v>
      </c>
      <c r="AB16" s="1">
        <v>32.700000000000003</v>
      </c>
      <c r="AC16" s="1">
        <v>32.9</v>
      </c>
      <c r="AD16" s="1">
        <v>33.1</v>
      </c>
      <c r="AE16" s="1">
        <v>33.5</v>
      </c>
      <c r="AF16" s="1">
        <v>33.4</v>
      </c>
      <c r="AG16" s="1">
        <v>33.200000000000003</v>
      </c>
      <c r="AH16" s="1">
        <v>33.299999999999997</v>
      </c>
    </row>
    <row r="17" spans="1:35" x14ac:dyDescent="0.2">
      <c r="A17" s="1" t="s">
        <v>18</v>
      </c>
      <c r="E17" s="1">
        <v>24.7</v>
      </c>
      <c r="F17" s="1">
        <v>24.9</v>
      </c>
      <c r="G17" s="1">
        <v>25.5</v>
      </c>
      <c r="H17" s="1">
        <v>27</v>
      </c>
      <c r="I17" s="1">
        <v>29.7</v>
      </c>
      <c r="J17" s="1">
        <v>33.200000000000003</v>
      </c>
      <c r="K17" s="1">
        <v>35.4</v>
      </c>
      <c r="L17" s="1">
        <v>36.5</v>
      </c>
      <c r="M17" s="1">
        <v>36.9</v>
      </c>
      <c r="N17" s="1">
        <v>36.4</v>
      </c>
      <c r="O17" s="1">
        <v>36.5</v>
      </c>
      <c r="P17" s="1">
        <v>36.4</v>
      </c>
      <c r="Q17" s="1">
        <v>36.799999999999997</v>
      </c>
      <c r="R17" s="1">
        <v>36.5</v>
      </c>
      <c r="S17" s="1">
        <v>36.299999999999997</v>
      </c>
      <c r="T17" s="1">
        <v>36.799999999999997</v>
      </c>
      <c r="U17" s="1">
        <v>37.1</v>
      </c>
      <c r="V17" s="1">
        <v>37</v>
      </c>
      <c r="W17" s="1">
        <v>36.9</v>
      </c>
      <c r="X17" s="1">
        <v>36.5</v>
      </c>
      <c r="Y17" s="1">
        <v>36.700000000000003</v>
      </c>
      <c r="Z17" s="1">
        <v>36.1</v>
      </c>
      <c r="AA17" s="1">
        <v>35.5</v>
      </c>
      <c r="AB17" s="1">
        <v>35.4</v>
      </c>
      <c r="AC17" s="1">
        <v>35.200000000000003</v>
      </c>
      <c r="AD17" s="1">
        <v>34.700000000000003</v>
      </c>
      <c r="AE17" s="1">
        <v>34.1</v>
      </c>
      <c r="AF17" s="1">
        <v>33.6</v>
      </c>
      <c r="AG17" s="1">
        <v>33.4</v>
      </c>
      <c r="AH17" s="1">
        <v>33.4</v>
      </c>
      <c r="AI17" s="1">
        <v>33.5</v>
      </c>
    </row>
    <row r="18" spans="1:35" x14ac:dyDescent="0.2">
      <c r="A18" s="1" t="s">
        <v>19</v>
      </c>
      <c r="N18" s="1">
        <v>31.4</v>
      </c>
      <c r="O18" s="1">
        <v>31.6</v>
      </c>
      <c r="P18" s="1">
        <v>32</v>
      </c>
      <c r="Q18" s="1">
        <v>32.700000000000003</v>
      </c>
      <c r="R18" s="1">
        <v>33.4</v>
      </c>
      <c r="S18" s="1">
        <v>33.9</v>
      </c>
      <c r="T18" s="1">
        <v>34.4</v>
      </c>
      <c r="U18" s="1">
        <v>34.799999999999997</v>
      </c>
      <c r="V18" s="1">
        <v>34.799999999999997</v>
      </c>
      <c r="W18" s="1">
        <v>34.5</v>
      </c>
      <c r="X18" s="1">
        <v>34</v>
      </c>
      <c r="Y18" s="1">
        <v>33.6</v>
      </c>
      <c r="Z18" s="1">
        <v>33.4</v>
      </c>
      <c r="AA18" s="1">
        <v>33.299999999999997</v>
      </c>
      <c r="AB18" s="1">
        <v>33.5</v>
      </c>
      <c r="AC18" s="1">
        <v>33.799999999999997</v>
      </c>
      <c r="AD18" s="1">
        <v>33.9</v>
      </c>
      <c r="AE18" s="1">
        <v>34</v>
      </c>
      <c r="AF18" s="1">
        <v>33.799999999999997</v>
      </c>
      <c r="AG18" s="1">
        <v>33.5</v>
      </c>
      <c r="AH18" s="1">
        <v>33.5</v>
      </c>
      <c r="AI18" s="1">
        <v>33.5</v>
      </c>
    </row>
    <row r="19" spans="1:35" x14ac:dyDescent="0.2">
      <c r="A19" s="1" t="s">
        <v>20</v>
      </c>
      <c r="E19" s="1">
        <v>27.7</v>
      </c>
      <c r="F19" s="1">
        <v>27.7</v>
      </c>
      <c r="G19" s="1">
        <v>27.9</v>
      </c>
      <c r="H19" s="1">
        <v>28.2</v>
      </c>
      <c r="I19" s="1">
        <v>28.5</v>
      </c>
      <c r="J19" s="1">
        <v>28.9</v>
      </c>
      <c r="K19" s="1">
        <v>29.4</v>
      </c>
      <c r="L19" s="1">
        <v>30</v>
      </c>
      <c r="M19" s="1">
        <v>30.6</v>
      </c>
      <c r="N19" s="1">
        <v>31.2</v>
      </c>
      <c r="O19" s="1">
        <v>31.7</v>
      </c>
      <c r="P19" s="1">
        <v>32.299999999999997</v>
      </c>
      <c r="Q19" s="1">
        <v>32.799999999999997</v>
      </c>
      <c r="R19" s="1">
        <v>33.299999999999997</v>
      </c>
      <c r="S19" s="1">
        <v>33.799999999999997</v>
      </c>
      <c r="T19" s="1">
        <v>34.4</v>
      </c>
      <c r="U19" s="1">
        <v>34.799999999999997</v>
      </c>
      <c r="V19" s="1">
        <v>35.1</v>
      </c>
      <c r="W19" s="1">
        <v>35.200000000000003</v>
      </c>
      <c r="X19" s="1">
        <v>35.4</v>
      </c>
      <c r="Y19" s="1">
        <v>35.5</v>
      </c>
      <c r="Z19" s="1">
        <v>35.5</v>
      </c>
      <c r="AA19" s="1">
        <v>35.5</v>
      </c>
      <c r="AB19" s="1">
        <v>35.5</v>
      </c>
      <c r="AC19" s="1">
        <v>35.4</v>
      </c>
      <c r="AD19" s="1">
        <v>35.200000000000003</v>
      </c>
      <c r="AE19" s="1">
        <v>35.1</v>
      </c>
      <c r="AF19" s="1">
        <v>34.9</v>
      </c>
      <c r="AG19" s="1">
        <v>34.9</v>
      </c>
      <c r="AH19" s="1">
        <v>34.9</v>
      </c>
      <c r="AI19" s="1">
        <v>34.9</v>
      </c>
    </row>
    <row r="20" spans="1:35" x14ac:dyDescent="0.2">
      <c r="A20" s="1" t="s">
        <v>21</v>
      </c>
      <c r="E20" s="1">
        <v>26.5</v>
      </c>
      <c r="F20" s="1">
        <v>26.9</v>
      </c>
      <c r="G20" s="1">
        <v>27.4</v>
      </c>
      <c r="H20" s="1">
        <v>28.2</v>
      </c>
      <c r="I20" s="1">
        <v>28.9</v>
      </c>
      <c r="J20" s="1">
        <v>29.7</v>
      </c>
      <c r="K20" s="1">
        <v>30.3</v>
      </c>
      <c r="L20" s="1">
        <v>30.7</v>
      </c>
      <c r="M20" s="1">
        <v>31</v>
      </c>
      <c r="N20" s="1">
        <v>31.2</v>
      </c>
      <c r="O20" s="1">
        <v>31.3</v>
      </c>
      <c r="P20" s="1">
        <v>31.5</v>
      </c>
      <c r="Q20" s="1">
        <v>31.8</v>
      </c>
      <c r="R20" s="1">
        <v>32</v>
      </c>
      <c r="S20" s="1">
        <v>32.200000000000003</v>
      </c>
      <c r="T20" s="1">
        <v>32.700000000000003</v>
      </c>
      <c r="U20" s="1">
        <v>33.200000000000003</v>
      </c>
      <c r="V20" s="1">
        <v>33.299999999999997</v>
      </c>
      <c r="W20" s="1">
        <v>33.200000000000003</v>
      </c>
      <c r="X20" s="1">
        <v>33.4</v>
      </c>
      <c r="Y20" s="1">
        <v>33.799999999999997</v>
      </c>
      <c r="Z20" s="1">
        <v>34</v>
      </c>
      <c r="AA20" s="1">
        <v>33.6</v>
      </c>
      <c r="AB20" s="1">
        <v>33.6</v>
      </c>
      <c r="AC20" s="1">
        <v>34.200000000000003</v>
      </c>
      <c r="AD20" s="1">
        <v>34.700000000000003</v>
      </c>
      <c r="AE20" s="1">
        <v>35.1</v>
      </c>
      <c r="AF20" s="1">
        <v>35.299999999999997</v>
      </c>
      <c r="AG20" s="1">
        <v>35.4</v>
      </c>
      <c r="AH20" s="1">
        <v>35.5</v>
      </c>
    </row>
    <row r="21" spans="1:35" x14ac:dyDescent="0.2">
      <c r="A21" s="1" t="s">
        <v>22</v>
      </c>
      <c r="F21" s="1">
        <v>29.2</v>
      </c>
      <c r="G21" s="1">
        <v>29.3</v>
      </c>
      <c r="H21" s="1">
        <v>29.6</v>
      </c>
      <c r="I21" s="1">
        <v>29.9</v>
      </c>
      <c r="J21" s="1">
        <v>30.4</v>
      </c>
      <c r="K21" s="1">
        <v>30.9</v>
      </c>
      <c r="L21" s="1">
        <v>31.3</v>
      </c>
      <c r="M21" s="1">
        <v>31.5</v>
      </c>
      <c r="N21" s="1">
        <v>31.7</v>
      </c>
      <c r="O21" s="1">
        <v>31.7</v>
      </c>
      <c r="P21" s="1">
        <v>31.8</v>
      </c>
      <c r="Q21" s="1">
        <v>32</v>
      </c>
      <c r="R21" s="1">
        <v>32.200000000000003</v>
      </c>
      <c r="S21" s="1">
        <v>32.5</v>
      </c>
      <c r="T21" s="1">
        <v>32.700000000000003</v>
      </c>
      <c r="U21" s="1">
        <v>32.9</v>
      </c>
      <c r="V21" s="1">
        <v>33.1</v>
      </c>
      <c r="W21" s="1">
        <v>33.299999999999997</v>
      </c>
      <c r="X21" s="1">
        <v>33.4</v>
      </c>
      <c r="Y21" s="1">
        <v>33.5</v>
      </c>
      <c r="Z21" s="1">
        <v>33.700000000000003</v>
      </c>
      <c r="AA21" s="1">
        <v>34.1</v>
      </c>
      <c r="AB21" s="1">
        <v>34.5</v>
      </c>
      <c r="AC21" s="1">
        <v>35</v>
      </c>
      <c r="AD21" s="1">
        <v>35.4</v>
      </c>
      <c r="AE21" s="1">
        <v>36</v>
      </c>
      <c r="AF21" s="1">
        <v>36.5</v>
      </c>
      <c r="AG21" s="1">
        <v>36.799999999999997</v>
      </c>
      <c r="AH21" s="1">
        <v>37</v>
      </c>
      <c r="AI21" s="1">
        <v>37.1</v>
      </c>
    </row>
    <row r="22" spans="1:35" x14ac:dyDescent="0.2">
      <c r="A22" s="1" t="s">
        <v>23</v>
      </c>
      <c r="E22" s="1">
        <v>35</v>
      </c>
      <c r="F22" s="1">
        <v>35.1</v>
      </c>
      <c r="G22" s="1">
        <v>35.5</v>
      </c>
      <c r="H22" s="1">
        <v>36.1</v>
      </c>
      <c r="I22" s="1">
        <v>36.6</v>
      </c>
      <c r="J22" s="1">
        <v>37.200000000000003</v>
      </c>
      <c r="K22" s="1">
        <v>37.700000000000003</v>
      </c>
      <c r="L22" s="1">
        <v>38.299999999999997</v>
      </c>
      <c r="M22" s="1">
        <v>38.9</v>
      </c>
      <c r="N22" s="1">
        <v>39.1</v>
      </c>
      <c r="O22" s="1">
        <v>39.4</v>
      </c>
      <c r="P22" s="1">
        <v>39.5</v>
      </c>
      <c r="Q22" s="1">
        <v>39.200000000000003</v>
      </c>
      <c r="R22" s="1">
        <v>39</v>
      </c>
      <c r="S22" s="1">
        <v>38.6</v>
      </c>
      <c r="T22" s="1">
        <v>38.5</v>
      </c>
      <c r="U22" s="1">
        <v>38.200000000000003</v>
      </c>
      <c r="V22" s="1">
        <v>37.700000000000003</v>
      </c>
      <c r="W22" s="1">
        <v>37.299999999999997</v>
      </c>
      <c r="X22" s="1">
        <v>36.9</v>
      </c>
      <c r="Y22" s="1">
        <v>36.5</v>
      </c>
      <c r="Z22" s="1">
        <v>36.299999999999997</v>
      </c>
      <c r="AA22" s="1">
        <v>36.1</v>
      </c>
      <c r="AB22" s="1">
        <v>36</v>
      </c>
      <c r="AC22" s="1">
        <v>36.200000000000003</v>
      </c>
      <c r="AD22" s="1">
        <v>36.5</v>
      </c>
      <c r="AE22" s="1">
        <v>36.700000000000003</v>
      </c>
      <c r="AF22" s="1">
        <v>37</v>
      </c>
      <c r="AG22" s="1">
        <v>37.200000000000003</v>
      </c>
      <c r="AH22" s="1">
        <v>37.299999999999997</v>
      </c>
      <c r="AI22" s="1">
        <v>37.299999999999997</v>
      </c>
    </row>
    <row r="23" spans="1:35" x14ac:dyDescent="0.2">
      <c r="A23" s="1" t="s">
        <v>24</v>
      </c>
      <c r="V23" s="1">
        <v>38.4</v>
      </c>
      <c r="W23" s="1">
        <v>38.4</v>
      </c>
      <c r="X23" s="1">
        <v>38.4</v>
      </c>
      <c r="Y23" s="1">
        <v>38.5</v>
      </c>
      <c r="Z23" s="1">
        <v>38.5</v>
      </c>
      <c r="AA23" s="1">
        <v>38.4</v>
      </c>
      <c r="AB23" s="1">
        <v>38.5</v>
      </c>
      <c r="AC23" s="1">
        <v>38.5</v>
      </c>
      <c r="AD23" s="1">
        <v>38.5</v>
      </c>
      <c r="AE23" s="1">
        <v>38.5</v>
      </c>
      <c r="AF23" s="1">
        <v>38.4</v>
      </c>
      <c r="AG23" s="1">
        <v>38.4</v>
      </c>
    </row>
    <row r="24" spans="1:35" x14ac:dyDescent="0.2">
      <c r="A24" s="1" t="s">
        <v>25</v>
      </c>
      <c r="R24" s="1">
        <v>38.5</v>
      </c>
      <c r="S24" s="1">
        <v>38.6</v>
      </c>
      <c r="T24" s="1">
        <v>38.799999999999997</v>
      </c>
      <c r="U24" s="1">
        <v>39</v>
      </c>
      <c r="V24" s="1">
        <v>39.1</v>
      </c>
      <c r="W24" s="1">
        <v>39.200000000000003</v>
      </c>
      <c r="X24" s="1">
        <v>39.200000000000003</v>
      </c>
      <c r="Y24" s="1">
        <v>39.200000000000003</v>
      </c>
      <c r="Z24" s="1">
        <v>39.200000000000003</v>
      </c>
      <c r="AA24" s="1">
        <v>39.1</v>
      </c>
      <c r="AB24" s="1">
        <v>39.1</v>
      </c>
      <c r="AC24" s="1">
        <v>39</v>
      </c>
      <c r="AD24" s="1">
        <v>38.9</v>
      </c>
      <c r="AE24" s="1">
        <v>38.9</v>
      </c>
      <c r="AF24" s="1">
        <v>38.799999999999997</v>
      </c>
    </row>
    <row r="25" spans="1:35" x14ac:dyDescent="0.2">
      <c r="A25" s="1" t="s">
        <v>26</v>
      </c>
      <c r="E25" s="1">
        <v>32.1</v>
      </c>
      <c r="F25" s="1">
        <v>32.1</v>
      </c>
      <c r="G25" s="1">
        <v>32.6</v>
      </c>
      <c r="H25" s="1">
        <v>33.299999999999997</v>
      </c>
      <c r="I25" s="1">
        <v>34</v>
      </c>
      <c r="J25" s="1">
        <v>34.700000000000003</v>
      </c>
      <c r="K25" s="1">
        <v>35.4</v>
      </c>
      <c r="L25" s="1">
        <v>36.1</v>
      </c>
      <c r="M25" s="1">
        <v>36.799999999999997</v>
      </c>
      <c r="N25" s="1">
        <v>37.5</v>
      </c>
      <c r="O25" s="1">
        <v>38.1</v>
      </c>
      <c r="P25" s="1">
        <v>38.299999999999997</v>
      </c>
      <c r="Q25" s="1">
        <v>38.5</v>
      </c>
      <c r="R25" s="1">
        <v>38.5</v>
      </c>
      <c r="S25" s="1">
        <v>38.5</v>
      </c>
      <c r="T25" s="1">
        <v>38.5</v>
      </c>
      <c r="U25" s="1">
        <v>38.6</v>
      </c>
      <c r="V25" s="1">
        <v>38.799999999999997</v>
      </c>
      <c r="W25" s="1">
        <v>39.1</v>
      </c>
      <c r="X25" s="1">
        <v>39.6</v>
      </c>
      <c r="Y25" s="1">
        <v>40</v>
      </c>
      <c r="Z25" s="1">
        <v>40.4</v>
      </c>
      <c r="AA25" s="1">
        <v>40.799999999999997</v>
      </c>
      <c r="AB25" s="1">
        <v>40.5</v>
      </c>
      <c r="AC25" s="1">
        <v>40.1</v>
      </c>
      <c r="AD25" s="1">
        <v>39.700000000000003</v>
      </c>
      <c r="AE25" s="1">
        <v>39.4</v>
      </c>
      <c r="AF25" s="1">
        <v>39.200000000000003</v>
      </c>
      <c r="AG25" s="1">
        <v>39.1</v>
      </c>
      <c r="AH25" s="1">
        <v>39</v>
      </c>
      <c r="AI25" s="1">
        <v>38.9</v>
      </c>
    </row>
    <row r="26" spans="1:35" x14ac:dyDescent="0.2">
      <c r="A26" s="1" t="s">
        <v>27</v>
      </c>
      <c r="M26" s="1">
        <v>37.799999999999997</v>
      </c>
      <c r="N26" s="1">
        <v>37.9</v>
      </c>
      <c r="O26" s="1">
        <v>38.1</v>
      </c>
      <c r="P26" s="1">
        <v>38.200000000000003</v>
      </c>
      <c r="Q26" s="1">
        <v>38.299999999999997</v>
      </c>
      <c r="R26" s="1">
        <v>38.5</v>
      </c>
      <c r="S26" s="1">
        <v>38.6</v>
      </c>
      <c r="T26" s="1">
        <v>38.700000000000003</v>
      </c>
      <c r="U26" s="1">
        <v>38.799999999999997</v>
      </c>
      <c r="V26" s="1">
        <v>38.9</v>
      </c>
      <c r="W26" s="1">
        <v>38.9</v>
      </c>
      <c r="X26" s="1">
        <v>39</v>
      </c>
      <c r="Y26" s="1">
        <v>39.1</v>
      </c>
      <c r="Z26" s="1">
        <v>39.299999999999997</v>
      </c>
      <c r="AA26" s="1">
        <v>39.4</v>
      </c>
      <c r="AB26" s="1">
        <v>39.6</v>
      </c>
      <c r="AC26" s="1">
        <v>39.700000000000003</v>
      </c>
      <c r="AD26" s="1">
        <v>39.9</v>
      </c>
      <c r="AE26" s="1">
        <v>40</v>
      </c>
      <c r="AF26" s="1">
        <v>40.200000000000003</v>
      </c>
      <c r="AG26" s="1">
        <v>40.299999999999997</v>
      </c>
      <c r="AH26" s="1">
        <v>40.299999999999997</v>
      </c>
    </row>
    <row r="27" spans="1:35" x14ac:dyDescent="0.2">
      <c r="A27" s="1" t="s">
        <v>28</v>
      </c>
      <c r="E27" s="1">
        <v>36.4</v>
      </c>
      <c r="F27" s="1">
        <v>36.5</v>
      </c>
      <c r="G27" s="1">
        <v>36.9</v>
      </c>
      <c r="H27" s="1">
        <v>37.4</v>
      </c>
      <c r="I27" s="1">
        <v>37.9</v>
      </c>
      <c r="J27" s="1">
        <v>38.299999999999997</v>
      </c>
      <c r="K27" s="1">
        <v>38.799999999999997</v>
      </c>
      <c r="L27" s="1">
        <v>39.299999999999997</v>
      </c>
      <c r="M27" s="1">
        <v>39.799999999999997</v>
      </c>
      <c r="N27" s="1">
        <v>40.299999999999997</v>
      </c>
      <c r="O27" s="1">
        <v>40.799999999999997</v>
      </c>
      <c r="P27" s="1">
        <v>41.2</v>
      </c>
      <c r="Q27" s="1">
        <v>41.6</v>
      </c>
      <c r="R27" s="1">
        <v>42</v>
      </c>
      <c r="S27" s="1">
        <v>42.5</v>
      </c>
      <c r="T27" s="1">
        <v>42.9</v>
      </c>
      <c r="U27" s="1">
        <v>43</v>
      </c>
      <c r="V27" s="1">
        <v>43.1</v>
      </c>
      <c r="W27" s="1">
        <v>43.2</v>
      </c>
      <c r="X27" s="1">
        <v>43.3</v>
      </c>
      <c r="Y27" s="1">
        <v>43.3</v>
      </c>
      <c r="Z27" s="1">
        <v>43.3</v>
      </c>
      <c r="AA27" s="1">
        <v>43.3</v>
      </c>
      <c r="AB27" s="1">
        <v>43.4</v>
      </c>
      <c r="AC27" s="1">
        <v>43.4</v>
      </c>
      <c r="AD27" s="1">
        <v>43.5</v>
      </c>
      <c r="AE27" s="1">
        <v>43.6</v>
      </c>
      <c r="AF27" s="1">
        <v>43.7</v>
      </c>
    </row>
    <row r="28" spans="1:35" x14ac:dyDescent="0.2">
      <c r="A28" s="1" t="s">
        <v>29</v>
      </c>
      <c r="E28" s="1">
        <v>31.2</v>
      </c>
      <c r="F28" s="1">
        <v>31.2</v>
      </c>
      <c r="G28" s="1">
        <v>31.3</v>
      </c>
      <c r="H28" s="1">
        <v>31.4</v>
      </c>
      <c r="I28" s="1">
        <v>31.5</v>
      </c>
      <c r="J28" s="1">
        <v>31.6</v>
      </c>
      <c r="K28" s="1">
        <v>31.7</v>
      </c>
      <c r="L28" s="1">
        <v>31.8</v>
      </c>
      <c r="M28" s="1">
        <v>31.6</v>
      </c>
      <c r="N28" s="1">
        <v>31.5</v>
      </c>
      <c r="O28" s="1">
        <v>31.4</v>
      </c>
      <c r="P28" s="1">
        <v>31.2</v>
      </c>
      <c r="Q28" s="1">
        <v>31.1</v>
      </c>
      <c r="R28" s="1">
        <v>31</v>
      </c>
      <c r="S28" s="1">
        <v>30.6</v>
      </c>
      <c r="T28" s="1">
        <v>30.3</v>
      </c>
      <c r="U28" s="1">
        <v>30.2</v>
      </c>
      <c r="V28" s="1">
        <v>30.1</v>
      </c>
      <c r="W28" s="1">
        <v>30.1</v>
      </c>
      <c r="X28" s="1">
        <v>30.2</v>
      </c>
      <c r="Y28" s="1">
        <v>30.3</v>
      </c>
    </row>
    <row r="29" spans="1:35" x14ac:dyDescent="0.2">
      <c r="A29" s="1" t="s">
        <v>30</v>
      </c>
      <c r="B29" s="1">
        <v>20.9</v>
      </c>
      <c r="C29" s="1">
        <v>20.9</v>
      </c>
      <c r="D29" s="1">
        <v>20.9</v>
      </c>
      <c r="E29" s="1">
        <v>20.8</v>
      </c>
      <c r="F29" s="1">
        <v>20.8</v>
      </c>
    </row>
    <row r="30" spans="1:35" x14ac:dyDescent="0.2">
      <c r="A30" s="1" t="s">
        <v>31</v>
      </c>
      <c r="B30" s="1">
        <v>24.7</v>
      </c>
      <c r="C30" s="1">
        <v>24.7</v>
      </c>
      <c r="D30" s="1">
        <v>24.7</v>
      </c>
      <c r="E30" s="1">
        <v>24.6</v>
      </c>
      <c r="F30" s="1">
        <v>24.6</v>
      </c>
      <c r="G30" s="1">
        <v>24.6</v>
      </c>
    </row>
    <row r="31" spans="1:35" x14ac:dyDescent="0.2">
      <c r="A31" s="1" t="s">
        <v>32</v>
      </c>
      <c r="E31" s="1">
        <v>30.3</v>
      </c>
      <c r="F31" s="1">
        <v>30.4</v>
      </c>
      <c r="G31" s="1">
        <v>30.5</v>
      </c>
      <c r="H31" s="1">
        <v>30.7</v>
      </c>
      <c r="I31" s="1">
        <v>30.9</v>
      </c>
      <c r="J31" s="1">
        <v>31.1</v>
      </c>
      <c r="K31" s="1">
        <v>31.2</v>
      </c>
      <c r="L31" s="1">
        <v>31.4</v>
      </c>
      <c r="M31" s="1">
        <v>31.5</v>
      </c>
      <c r="N31" s="1">
        <v>31.7</v>
      </c>
      <c r="O31" s="1">
        <v>31.8</v>
      </c>
      <c r="P31" s="1">
        <v>31.9</v>
      </c>
      <c r="Q31" s="1">
        <v>32</v>
      </c>
      <c r="R31" s="1">
        <v>32.1</v>
      </c>
      <c r="S31" s="1">
        <v>32.1</v>
      </c>
      <c r="T31" s="1">
        <v>32.200000000000003</v>
      </c>
      <c r="U31" s="1">
        <v>32.299999999999997</v>
      </c>
      <c r="V31" s="1">
        <v>32.4</v>
      </c>
    </row>
    <row r="32" spans="1:35" x14ac:dyDescent="0.2">
      <c r="A32" s="1" t="s">
        <v>33</v>
      </c>
      <c r="E32" s="1">
        <v>31.3</v>
      </c>
      <c r="F32" s="1">
        <v>31.4</v>
      </c>
      <c r="G32" s="1">
        <v>31.4</v>
      </c>
      <c r="H32" s="1">
        <v>31.6</v>
      </c>
      <c r="I32" s="1">
        <v>31.7</v>
      </c>
      <c r="J32" s="1">
        <v>31.9</v>
      </c>
      <c r="K32" s="1">
        <v>32</v>
      </c>
      <c r="L32" s="1">
        <v>32.200000000000003</v>
      </c>
      <c r="M32" s="1">
        <v>32.4</v>
      </c>
      <c r="N32" s="1">
        <v>32.5</v>
      </c>
      <c r="O32" s="1">
        <v>32.700000000000003</v>
      </c>
      <c r="P32" s="1">
        <v>32.700000000000003</v>
      </c>
      <c r="Q32" s="1">
        <v>32.6</v>
      </c>
      <c r="R32" s="1">
        <v>32.5</v>
      </c>
      <c r="S32" s="1">
        <v>32.4</v>
      </c>
      <c r="T32" s="1">
        <v>32.4</v>
      </c>
    </row>
    <row r="33" spans="1:7" x14ac:dyDescent="0.2">
      <c r="A33" s="1" t="s">
        <v>34</v>
      </c>
      <c r="B33" s="1">
        <v>33.4</v>
      </c>
      <c r="C33" s="1">
        <v>33.6</v>
      </c>
      <c r="D33" s="1">
        <v>33.799999999999997</v>
      </c>
      <c r="E33" s="1">
        <v>34</v>
      </c>
      <c r="F33" s="1">
        <v>34.1</v>
      </c>
      <c r="G33" s="1">
        <v>34.299999999999997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907B8-E4AE-1040-8759-5A763CF883F9}">
  <dimension ref="A1:AD30"/>
  <sheetViews>
    <sheetView workbookViewId="0">
      <selection activeCell="B61" sqref="B61"/>
    </sheetView>
  </sheetViews>
  <sheetFormatPr baseColWidth="10" defaultRowHeight="16" x14ac:dyDescent="0.2"/>
  <cols>
    <col min="1" max="16384" width="10.83203125" style="1"/>
  </cols>
  <sheetData>
    <row r="1" spans="1:30" x14ac:dyDescent="0.2">
      <c r="B1" s="1">
        <v>1990</v>
      </c>
      <c r="C1" s="1">
        <v>1991</v>
      </c>
      <c r="D1" s="1">
        <v>1992</v>
      </c>
      <c r="E1" s="1">
        <v>1993</v>
      </c>
      <c r="F1" s="1">
        <v>1994</v>
      </c>
      <c r="G1" s="1">
        <v>1995</v>
      </c>
      <c r="H1" s="1">
        <v>1996</v>
      </c>
      <c r="I1" s="1">
        <v>1997</v>
      </c>
      <c r="J1" s="1">
        <v>1998</v>
      </c>
      <c r="K1" s="1">
        <v>1999</v>
      </c>
      <c r="L1" s="1">
        <v>2000</v>
      </c>
      <c r="M1" s="1">
        <v>2001</v>
      </c>
      <c r="N1" s="1">
        <v>2002</v>
      </c>
      <c r="O1" s="1">
        <v>2003</v>
      </c>
      <c r="P1" s="1">
        <v>2004</v>
      </c>
      <c r="Q1" s="1">
        <v>2005</v>
      </c>
      <c r="R1" s="1">
        <v>2006</v>
      </c>
      <c r="S1" s="1">
        <v>2007</v>
      </c>
      <c r="T1" s="1">
        <v>2008</v>
      </c>
      <c r="U1" s="1">
        <v>2009</v>
      </c>
      <c r="V1" s="1">
        <v>2010</v>
      </c>
      <c r="W1" s="1">
        <v>2011</v>
      </c>
      <c r="X1" s="1">
        <v>2012</v>
      </c>
      <c r="Y1" s="1">
        <v>2013</v>
      </c>
      <c r="Z1" s="1">
        <v>2014</v>
      </c>
      <c r="AA1" s="1">
        <v>2015</v>
      </c>
      <c r="AB1" s="1">
        <v>2016</v>
      </c>
      <c r="AC1" s="1">
        <v>2017</v>
      </c>
      <c r="AD1" s="1">
        <v>2018</v>
      </c>
    </row>
    <row r="2" spans="1:30" x14ac:dyDescent="0.2">
      <c r="A2" s="1" t="s">
        <v>27</v>
      </c>
      <c r="D2" s="1">
        <v>4.0050685682999996</v>
      </c>
      <c r="E2" s="1">
        <v>5.9777240581999997</v>
      </c>
      <c r="F2" s="1">
        <v>3.5594902046999999</v>
      </c>
      <c r="G2" s="1">
        <v>8.3201544015</v>
      </c>
      <c r="H2" s="1">
        <v>8.7778774252999998</v>
      </c>
      <c r="I2" s="1">
        <v>43.035770339000003</v>
      </c>
      <c r="J2" s="1">
        <v>21.217096221999999</v>
      </c>
      <c r="K2" s="1">
        <v>17.036538892999999</v>
      </c>
      <c r="L2" s="1">
        <v>4.1863119741999997</v>
      </c>
      <c r="M2" s="1">
        <v>7.0294254945999999</v>
      </c>
      <c r="N2" s="1">
        <v>6.9093843833999999</v>
      </c>
      <c r="O2" s="1">
        <v>5.3238965663000002</v>
      </c>
      <c r="P2" s="1">
        <v>4.2191470043999999</v>
      </c>
      <c r="Q2" s="1">
        <v>4.9889691947000001</v>
      </c>
      <c r="R2" s="1">
        <v>3.1015131792999999</v>
      </c>
      <c r="S2" s="1">
        <v>3.4607858356999999</v>
      </c>
      <c r="T2" s="1">
        <v>3.0972300438999998</v>
      </c>
      <c r="U2" s="1">
        <v>2.8590226043999998</v>
      </c>
      <c r="V2" s="1">
        <v>4.3079630491999996</v>
      </c>
      <c r="W2" s="1">
        <v>4.8487315274</v>
      </c>
      <c r="X2" s="1">
        <v>5.3876148686000001</v>
      </c>
      <c r="Y2" s="1">
        <v>4.2702841943000003</v>
      </c>
      <c r="Z2" s="1">
        <v>4.0396270146999997</v>
      </c>
      <c r="AA2" s="1">
        <v>2.2141314169999999</v>
      </c>
      <c r="AB2" s="1">
        <v>2.7369477904999999</v>
      </c>
      <c r="AC2" s="1">
        <v>2.0109778588</v>
      </c>
      <c r="AD2" s="1">
        <v>2.2894924437999999</v>
      </c>
    </row>
    <row r="3" spans="1:30" x14ac:dyDescent="0.2">
      <c r="A3" s="1" t="s">
        <v>23</v>
      </c>
      <c r="B3" s="1">
        <v>5.0308578120999998</v>
      </c>
      <c r="C3" s="1">
        <v>5.3063277388000003</v>
      </c>
      <c r="D3" s="1">
        <v>8.8590167362999992</v>
      </c>
      <c r="E3" s="1">
        <v>7.9688122099000003</v>
      </c>
      <c r="F3" s="1">
        <v>4.7812443660000001</v>
      </c>
      <c r="G3" s="1">
        <v>3.6054528121999998</v>
      </c>
      <c r="H3" s="1">
        <v>3.5982429212000002</v>
      </c>
      <c r="I3" s="1">
        <v>3.1917463991999999</v>
      </c>
      <c r="J3" s="1">
        <v>2.9916128685999999</v>
      </c>
      <c r="K3" s="1">
        <v>2.9135453963</v>
      </c>
      <c r="L3" s="1">
        <v>2.9645585398000001</v>
      </c>
      <c r="M3" s="1">
        <v>2.8845971037</v>
      </c>
      <c r="N3" s="1">
        <v>2.2742434349999998</v>
      </c>
      <c r="O3" s="1">
        <v>2.5182757233999999</v>
      </c>
      <c r="P3" s="1">
        <v>2.7660074349000001</v>
      </c>
      <c r="Q3" s="1">
        <v>1.9454848316</v>
      </c>
      <c r="R3" s="1">
        <v>2.6704517221000001</v>
      </c>
      <c r="S3" s="1">
        <v>2.6256429842000002</v>
      </c>
      <c r="T3" s="1">
        <v>3.336067533</v>
      </c>
      <c r="U3" s="1">
        <v>3.3586164438999999</v>
      </c>
      <c r="V3" s="1">
        <v>1.9462596018</v>
      </c>
      <c r="W3" s="1">
        <v>2.4682465299</v>
      </c>
      <c r="X3" s="1">
        <v>2.2536273865999998</v>
      </c>
      <c r="Y3" s="1">
        <v>2.1742183944</v>
      </c>
      <c r="Z3" s="1">
        <v>2.4721853397000002</v>
      </c>
      <c r="AA3" s="1">
        <v>2.5636126292000001</v>
      </c>
      <c r="AB3" s="1">
        <v>2.9630669037000001</v>
      </c>
      <c r="AC3" s="1">
        <v>2.3770803272999999</v>
      </c>
      <c r="AD3" s="1">
        <v>1.693915557</v>
      </c>
    </row>
    <row r="4" spans="1:30" x14ac:dyDescent="0.2">
      <c r="A4" s="1" t="s">
        <v>29</v>
      </c>
      <c r="B4" s="1">
        <v>4.5424684906000001</v>
      </c>
      <c r="C4" s="1">
        <v>4.8518981861999997</v>
      </c>
      <c r="D4" s="1">
        <v>7.5482566471999997</v>
      </c>
      <c r="E4" s="1">
        <v>6.3046097248999997</v>
      </c>
      <c r="F4" s="1">
        <v>6.4942637040999998</v>
      </c>
      <c r="G4" s="1">
        <v>5.6974428898999996</v>
      </c>
      <c r="H4" s="1">
        <v>5.0919361807000003</v>
      </c>
      <c r="I4" s="1">
        <v>3.5832941779</v>
      </c>
      <c r="J4" s="1">
        <v>3.5044230198999999</v>
      </c>
      <c r="K4" s="1">
        <v>3.0046711462000002</v>
      </c>
      <c r="L4" s="1">
        <v>2.7823113448000001</v>
      </c>
      <c r="M4" s="1">
        <v>2.6594138676000001</v>
      </c>
      <c r="N4" s="1">
        <v>2.5612943718999999</v>
      </c>
      <c r="O4" s="1">
        <v>2.1886200606999999</v>
      </c>
      <c r="P4" s="1">
        <v>2.3789972182999999</v>
      </c>
      <c r="Q4" s="1">
        <v>2.2486095511999999</v>
      </c>
      <c r="R4" s="1">
        <v>2.2015832164</v>
      </c>
      <c r="S4" s="1">
        <v>2.1663785612000002</v>
      </c>
      <c r="T4" s="1">
        <v>2.1764095567999999</v>
      </c>
      <c r="V4" s="1">
        <v>2.2806620341000001</v>
      </c>
      <c r="X4" s="1">
        <v>2.1803226100000002</v>
      </c>
      <c r="Y4" s="1">
        <v>2.3547043529999998</v>
      </c>
      <c r="Z4" s="1">
        <v>2.4827428333000001</v>
      </c>
      <c r="AA4" s="1">
        <v>2.3382111187999999</v>
      </c>
      <c r="AB4" s="1">
        <v>2.1363919892999998</v>
      </c>
      <c r="AC4" s="1">
        <v>2.0415799756999999</v>
      </c>
      <c r="AD4" s="1">
        <v>2.2011074485000002</v>
      </c>
    </row>
    <row r="5" spans="1:30" x14ac:dyDescent="0.2">
      <c r="A5" s="1" t="s">
        <v>3</v>
      </c>
      <c r="B5" s="1">
        <v>5.0043665068000003</v>
      </c>
      <c r="C5" s="1">
        <v>4.5764180622000001</v>
      </c>
      <c r="D5" s="1">
        <v>5.8497166432999999</v>
      </c>
      <c r="E5" s="1">
        <v>7.4592015714000004</v>
      </c>
      <c r="F5" s="1">
        <v>8.2011974341999991</v>
      </c>
      <c r="G5" s="1">
        <v>9.5260719658999999</v>
      </c>
      <c r="H5" s="1">
        <v>9.6566859010999995</v>
      </c>
      <c r="I5" s="1">
        <v>10.200418747000001</v>
      </c>
      <c r="J5" s="1">
        <v>10.391188112</v>
      </c>
      <c r="K5" s="1">
        <v>9.8141557609000003</v>
      </c>
      <c r="L5" s="1">
        <v>10.261724628</v>
      </c>
      <c r="M5" s="1">
        <v>9.8762673906000007</v>
      </c>
      <c r="N5" s="1">
        <v>10.147823728000001</v>
      </c>
      <c r="O5" s="1">
        <v>9.0812961975000004</v>
      </c>
      <c r="P5" s="1">
        <v>8.4749040931999993</v>
      </c>
      <c r="Q5" s="1">
        <v>8.6278272213000005</v>
      </c>
      <c r="R5" s="1">
        <v>7.7126084545999998</v>
      </c>
      <c r="S5" s="1">
        <v>6.8456203957000001</v>
      </c>
      <c r="T5" s="1">
        <v>5.8395056307999997</v>
      </c>
      <c r="U5" s="1">
        <v>5.1626395781000003</v>
      </c>
      <c r="V5" s="1">
        <v>4.2566399336999998</v>
      </c>
      <c r="W5" s="1">
        <v>3.9616301779</v>
      </c>
      <c r="X5" s="1">
        <v>3.6104744110000002</v>
      </c>
      <c r="Y5" s="1">
        <v>3.5337181442999999</v>
      </c>
      <c r="Z5" s="1">
        <v>3.6048483938999998</v>
      </c>
      <c r="AA5" s="1">
        <v>3.4536005586999998</v>
      </c>
      <c r="AB5" s="1">
        <v>3.2501774892999999</v>
      </c>
      <c r="AC5" s="1">
        <v>2.5396199226</v>
      </c>
      <c r="AD5" s="1">
        <v>2.3908727902</v>
      </c>
    </row>
    <row r="6" spans="1:30" x14ac:dyDescent="0.2">
      <c r="A6" s="1" t="s">
        <v>25</v>
      </c>
      <c r="B6" s="1">
        <v>1.6355164266</v>
      </c>
      <c r="L6" s="1">
        <v>1.6355164266</v>
      </c>
      <c r="M6" s="1">
        <v>2.6391723555</v>
      </c>
      <c r="N6" s="1">
        <v>2.1834561128000001</v>
      </c>
      <c r="O6" s="1">
        <v>2.3940060473</v>
      </c>
      <c r="P6" s="1">
        <v>1.8064956270000001</v>
      </c>
      <c r="Q6" s="1">
        <v>1.8590658141</v>
      </c>
      <c r="R6" s="1">
        <v>1.9386937241</v>
      </c>
      <c r="S6" s="1">
        <v>1.7540171644</v>
      </c>
      <c r="T6" s="1">
        <v>1.7580024404000001</v>
      </c>
      <c r="U6" s="1">
        <v>1.9004562433000001</v>
      </c>
      <c r="V6" s="1">
        <v>1.5112760081000001</v>
      </c>
      <c r="W6" s="1">
        <v>1.3929961791000001</v>
      </c>
      <c r="X6" s="1">
        <v>1.7475863890000001</v>
      </c>
      <c r="Y6" s="1">
        <v>1.2984820745000001</v>
      </c>
      <c r="Z6" s="1">
        <v>1.4359126345</v>
      </c>
      <c r="AA6" s="1">
        <v>1.6621167435999999</v>
      </c>
      <c r="AB6" s="1">
        <v>1.3288985527999999</v>
      </c>
      <c r="AC6" s="1">
        <v>1.2531575094</v>
      </c>
      <c r="AD6" s="1">
        <v>1.1733102602000001</v>
      </c>
    </row>
    <row r="7" spans="1:30" x14ac:dyDescent="0.2">
      <c r="A7" s="1" t="s">
        <v>22</v>
      </c>
      <c r="B7" s="1">
        <v>2.5674475251</v>
      </c>
      <c r="C7" s="1">
        <v>4.2774039009999996</v>
      </c>
      <c r="D7" s="1">
        <v>5.3248019710000003</v>
      </c>
      <c r="E7" s="1">
        <v>5.7135914213000003</v>
      </c>
      <c r="F7" s="1">
        <v>5.8054316656999996</v>
      </c>
      <c r="G7" s="1">
        <v>5.8954770114999997</v>
      </c>
      <c r="H7" s="1">
        <v>5.2822188212999999</v>
      </c>
      <c r="I7" s="1">
        <v>4.8466816791999996</v>
      </c>
      <c r="J7" s="1">
        <v>4.6819304152000001</v>
      </c>
      <c r="K7" s="1">
        <v>4.0535489936999998</v>
      </c>
      <c r="L7" s="1">
        <v>4.1510631911000004</v>
      </c>
      <c r="M7" s="1">
        <v>3.8836420493000001</v>
      </c>
      <c r="N7" s="1">
        <v>3.2417004206</v>
      </c>
      <c r="O7" s="1">
        <v>3.1649194688</v>
      </c>
      <c r="P7" s="1">
        <v>3.1505701369999999</v>
      </c>
      <c r="Q7" s="1">
        <v>2.5887983865000002</v>
      </c>
      <c r="R7" s="1">
        <v>2.4374198993</v>
      </c>
      <c r="S7" s="1">
        <v>2.3361170962000002</v>
      </c>
      <c r="T7" s="1">
        <v>2.2859925539999999</v>
      </c>
      <c r="U7" s="1">
        <v>2.0070893070000002</v>
      </c>
      <c r="V7" s="1">
        <v>1.9932630403</v>
      </c>
      <c r="W7" s="1">
        <v>1.7347342035</v>
      </c>
      <c r="X7" s="1">
        <v>1.9225506602</v>
      </c>
      <c r="Y7" s="1">
        <v>1.4951800334000001</v>
      </c>
      <c r="Z7" s="1">
        <v>1.5733582421000001</v>
      </c>
      <c r="AA7" s="1">
        <v>1.7500634397999999</v>
      </c>
      <c r="AB7" s="1">
        <v>1.1045941609000001</v>
      </c>
      <c r="AC7" s="1">
        <v>1.4502033944999999</v>
      </c>
      <c r="AD7" s="1">
        <v>1.3046665938999999</v>
      </c>
    </row>
    <row r="8" spans="1:30" x14ac:dyDescent="0.2">
      <c r="A8" s="1" t="s">
        <v>12</v>
      </c>
      <c r="B8" s="1">
        <v>2.8682870046</v>
      </c>
      <c r="C8" s="1">
        <v>9.1806664827999995</v>
      </c>
      <c r="D8" s="1">
        <v>8.1768636594000004</v>
      </c>
      <c r="E8" s="1">
        <v>4.6407298122</v>
      </c>
      <c r="F8" s="1">
        <v>3.0701189403</v>
      </c>
      <c r="G8" s="1">
        <v>3.5955928428999999</v>
      </c>
      <c r="H8" s="1">
        <v>2.6667319506</v>
      </c>
      <c r="I8" s="1">
        <v>2.6034743144000001</v>
      </c>
      <c r="J8" s="1">
        <v>2.3375377845999998</v>
      </c>
      <c r="K8" s="1">
        <v>2.4907740383000001</v>
      </c>
      <c r="L8" s="1">
        <v>2.2809008428999999</v>
      </c>
      <c r="M8" s="1">
        <v>1.8375376269999999</v>
      </c>
      <c r="N8" s="1">
        <v>1.6606753443</v>
      </c>
      <c r="O8" s="1">
        <v>1.5721446947</v>
      </c>
      <c r="P8" s="1">
        <v>1.8933012947000001</v>
      </c>
      <c r="Q8" s="1">
        <v>1.5531972337</v>
      </c>
      <c r="R8" s="1">
        <v>1.6930608756000001</v>
      </c>
      <c r="S8" s="1">
        <v>1.4212272205000001</v>
      </c>
      <c r="T8" s="1">
        <v>1.6311943168</v>
      </c>
      <c r="U8" s="1">
        <v>1.1287043096</v>
      </c>
      <c r="V8" s="1">
        <v>1.4324783979</v>
      </c>
      <c r="W8" s="1">
        <v>1.1360743484</v>
      </c>
      <c r="X8" s="1">
        <v>1.1871870394999999</v>
      </c>
      <c r="Y8" s="1">
        <v>1.0756225809</v>
      </c>
      <c r="Z8" s="1">
        <v>0.84596046827000004</v>
      </c>
      <c r="AA8" s="1">
        <v>0.87411059247</v>
      </c>
      <c r="AB8" s="1">
        <v>1.0454755737999999</v>
      </c>
      <c r="AC8" s="1">
        <v>1.0997294425999999</v>
      </c>
      <c r="AD8" s="1">
        <v>0.57742179723999998</v>
      </c>
    </row>
    <row r="9" spans="1:30" x14ac:dyDescent="0.2">
      <c r="A9" s="1" t="s">
        <v>5</v>
      </c>
      <c r="F9" s="1">
        <v>1.9978835946</v>
      </c>
      <c r="G9" s="1">
        <v>1.6991385561000001</v>
      </c>
      <c r="H9" s="1">
        <v>1.6714488138000001</v>
      </c>
      <c r="I9" s="1">
        <v>1.8087999763</v>
      </c>
      <c r="J9" s="1">
        <v>1.6855166845</v>
      </c>
      <c r="K9" s="1">
        <v>1.6688652997</v>
      </c>
      <c r="L9" s="1">
        <v>1.8562839683000001</v>
      </c>
      <c r="M9" s="1">
        <v>1.3143778626</v>
      </c>
      <c r="N9" s="1">
        <v>1.3557980948999999</v>
      </c>
      <c r="O9" s="1">
        <v>1.5919319716</v>
      </c>
      <c r="P9" s="1">
        <v>1.3086648063999999</v>
      </c>
      <c r="Q9" s="1">
        <v>1.0528198757</v>
      </c>
      <c r="R9" s="1">
        <v>1.262306395</v>
      </c>
      <c r="S9" s="1">
        <v>1.2165056647000001</v>
      </c>
      <c r="T9" s="1">
        <v>1.0934971737000001</v>
      </c>
      <c r="U9" s="1">
        <v>0.89624914964000002</v>
      </c>
      <c r="V9" s="1">
        <v>0.97755291741000006</v>
      </c>
      <c r="W9" s="1">
        <v>0.81389203929999998</v>
      </c>
      <c r="X9" s="1">
        <v>0.99231644649999995</v>
      </c>
      <c r="Y9" s="1">
        <v>0.85013699958</v>
      </c>
      <c r="Z9" s="1">
        <v>0.76479279213999996</v>
      </c>
      <c r="AA9" s="1">
        <v>0.83007982915</v>
      </c>
      <c r="AB9" s="1">
        <v>0.61211797717000005</v>
      </c>
      <c r="AC9" s="1">
        <v>0.62024059321000002</v>
      </c>
    </row>
    <row r="10" spans="1:30" x14ac:dyDescent="0.2">
      <c r="A10" s="1" t="s">
        <v>13</v>
      </c>
      <c r="B10" s="1">
        <v>7.5387510972999996</v>
      </c>
      <c r="C10" s="1">
        <v>7.6862461406999998</v>
      </c>
      <c r="D10" s="1">
        <v>14.268702685999999</v>
      </c>
      <c r="E10" s="1">
        <v>18.950848755999999</v>
      </c>
      <c r="F10" s="1">
        <v>20.726242030000002</v>
      </c>
      <c r="G10" s="1">
        <v>17.166471509000001</v>
      </c>
      <c r="H10" s="1">
        <v>15.094435443</v>
      </c>
      <c r="I10" s="1">
        <v>12.626997086999999</v>
      </c>
      <c r="J10" s="1">
        <v>13.936786717</v>
      </c>
      <c r="K10" s="1">
        <v>11.184056805999999</v>
      </c>
      <c r="L10" s="1">
        <v>10.220775907</v>
      </c>
      <c r="M10" s="1">
        <v>9.8437997353999993</v>
      </c>
      <c r="N10" s="1">
        <v>10.269487256</v>
      </c>
      <c r="O10" s="1">
        <v>10.707230804</v>
      </c>
      <c r="P10" s="1">
        <v>6.6736581179999996</v>
      </c>
      <c r="Q10" s="1">
        <v>8.3354848227999998</v>
      </c>
      <c r="R10" s="1">
        <v>6.743872895</v>
      </c>
      <c r="S10" s="1">
        <v>7.1412896723000001</v>
      </c>
      <c r="T10" s="1">
        <v>6.4175895683000004</v>
      </c>
      <c r="U10" s="1">
        <v>5.2389719640000001</v>
      </c>
      <c r="V10" s="1">
        <v>5.2548489117999999</v>
      </c>
      <c r="W10" s="1">
        <v>4.8956805787000004</v>
      </c>
      <c r="X10" s="1">
        <v>4.7613181444999997</v>
      </c>
      <c r="Y10" s="1">
        <v>3.9421773555000001</v>
      </c>
      <c r="Z10" s="1">
        <v>3.1148553529999998</v>
      </c>
      <c r="AA10" s="1">
        <v>3.4211946811999998</v>
      </c>
      <c r="AB10" s="1">
        <v>2.5066330828000001</v>
      </c>
      <c r="AC10" s="1">
        <v>2.1979870986000001</v>
      </c>
      <c r="AD10" s="1">
        <v>2.1165412994000001</v>
      </c>
    </row>
    <row r="11" spans="1:30" x14ac:dyDescent="0.2">
      <c r="A11" s="1" t="s">
        <v>26</v>
      </c>
      <c r="C11" s="1">
        <v>7.7982563172999999</v>
      </c>
      <c r="D11" s="1">
        <v>14.517550682</v>
      </c>
      <c r="E11" s="1">
        <v>16.855591353000001</v>
      </c>
      <c r="F11" s="1">
        <v>11.339723600999999</v>
      </c>
      <c r="G11" s="1">
        <v>7.8573191228999999</v>
      </c>
      <c r="H11" s="1">
        <v>5.5708846584999998</v>
      </c>
      <c r="I11" s="1">
        <v>6.0514744789000003</v>
      </c>
      <c r="J11" s="1">
        <v>5.3110157021999997</v>
      </c>
      <c r="K11" s="1">
        <v>5.4749619221000003</v>
      </c>
      <c r="L11" s="1">
        <v>5.4789068961999998</v>
      </c>
      <c r="M11" s="1">
        <v>6.1205762837000002</v>
      </c>
      <c r="N11" s="1">
        <v>6.8567569465</v>
      </c>
      <c r="O11" s="1">
        <v>7.1244394222</v>
      </c>
      <c r="P11" s="1">
        <v>7.0519008067</v>
      </c>
      <c r="Q11" s="1">
        <v>9.5720873182999995</v>
      </c>
      <c r="R11" s="1">
        <v>7.7093420518000002</v>
      </c>
      <c r="S11" s="1">
        <v>7.9196325291000003</v>
      </c>
      <c r="T11" s="1">
        <v>6.3485963566999999</v>
      </c>
      <c r="U11" s="1">
        <v>5.0977184069000003</v>
      </c>
      <c r="V11" s="1">
        <v>4.5619814710000002</v>
      </c>
      <c r="Z11" s="1">
        <v>2.6763743058</v>
      </c>
      <c r="AB11" s="1">
        <v>0.97124685931999999</v>
      </c>
      <c r="AD11" s="1">
        <v>2.2233624934999998</v>
      </c>
    </row>
    <row r="12" spans="1:30" x14ac:dyDescent="0.2">
      <c r="A12" s="1" t="s">
        <v>9</v>
      </c>
      <c r="B12" s="1">
        <v>1.9369508058</v>
      </c>
      <c r="C12" s="1">
        <v>2.962448314</v>
      </c>
      <c r="D12" s="1">
        <v>2.9444070842999999</v>
      </c>
      <c r="E12" s="1">
        <v>2.8767111122000002</v>
      </c>
      <c r="F12" s="1">
        <v>3.0219396681999999</v>
      </c>
      <c r="G12" s="1">
        <v>2.8600946073000002</v>
      </c>
      <c r="H12" s="1">
        <v>2.6228045988000002</v>
      </c>
      <c r="I12" s="1">
        <v>2.8035173762999999</v>
      </c>
      <c r="J12" s="1">
        <v>2.8113907044999999</v>
      </c>
      <c r="K12" s="1">
        <v>2.4684354910000001</v>
      </c>
      <c r="L12" s="1">
        <v>2.0057709455000001</v>
      </c>
      <c r="M12" s="1">
        <v>2.491795958</v>
      </c>
      <c r="N12" s="1">
        <v>1.9965996826000001</v>
      </c>
      <c r="O12" s="1">
        <v>2.2482233857999998</v>
      </c>
      <c r="P12" s="1">
        <v>2.0663442839999999</v>
      </c>
      <c r="Q12" s="1">
        <v>1.6260256107</v>
      </c>
      <c r="R12" s="1">
        <v>1.7303692837</v>
      </c>
      <c r="S12" s="1">
        <v>1.5362886338999999</v>
      </c>
      <c r="T12" s="1">
        <v>1.8114732711999999</v>
      </c>
      <c r="U12" s="1">
        <v>1.3956609403</v>
      </c>
      <c r="V12" s="1">
        <v>1.3900948688999999</v>
      </c>
      <c r="W12" s="1">
        <v>1.4652845295000001</v>
      </c>
      <c r="X12" s="1">
        <v>1.2570502525</v>
      </c>
      <c r="Y12" s="1">
        <v>1.5660077875</v>
      </c>
      <c r="Z12" s="1">
        <v>1.4890375728</v>
      </c>
      <c r="AA12" s="1">
        <v>2.2601932414000001</v>
      </c>
      <c r="AB12" s="1">
        <v>2.0711639634000001</v>
      </c>
      <c r="AC12" s="1">
        <v>2.4871986353</v>
      </c>
    </row>
    <row r="13" spans="1:30" x14ac:dyDescent="0.2">
      <c r="A13" s="1" t="s">
        <v>7</v>
      </c>
      <c r="B13" s="1">
        <v>9.0027509354999999</v>
      </c>
      <c r="C13" s="1">
        <v>9.2345419753000009</v>
      </c>
      <c r="D13" s="1">
        <v>11.531755048999999</v>
      </c>
      <c r="E13" s="1">
        <v>15.981547924999999</v>
      </c>
      <c r="F13" s="1">
        <v>15.909152188</v>
      </c>
      <c r="G13" s="1">
        <v>15.448859445</v>
      </c>
      <c r="H13" s="1">
        <v>16.792556464</v>
      </c>
      <c r="I13" s="1">
        <v>16.753207596999999</v>
      </c>
      <c r="J13" s="1">
        <v>16.662093533</v>
      </c>
      <c r="K13" s="1">
        <v>15.804989597000001</v>
      </c>
      <c r="L13" s="1">
        <v>15.580265372</v>
      </c>
      <c r="M13" s="1">
        <v>14.486720406</v>
      </c>
      <c r="N13" s="1">
        <v>13.134186919999999</v>
      </c>
      <c r="O13" s="1">
        <v>13.185391169000001</v>
      </c>
      <c r="P13" s="1">
        <v>13.711461024</v>
      </c>
      <c r="T13" s="1">
        <v>11.391915559999999</v>
      </c>
      <c r="U13" s="1">
        <v>11.039072144</v>
      </c>
      <c r="V13" s="1">
        <v>8.5341908790000005</v>
      </c>
      <c r="W13" s="1">
        <v>8.6109302176</v>
      </c>
      <c r="X13" s="1">
        <v>7.5575217846999996</v>
      </c>
      <c r="Y13" s="1">
        <v>6.5781289663000004</v>
      </c>
      <c r="Z13" s="1">
        <v>5.2246425816000004</v>
      </c>
      <c r="AA13" s="1">
        <v>4.8543109183000004</v>
      </c>
      <c r="AC13" s="1">
        <v>5.06083427</v>
      </c>
    </row>
    <row r="14" spans="1:30" x14ac:dyDescent="0.2">
      <c r="A14" s="1" t="s">
        <v>10</v>
      </c>
      <c r="T14" s="1">
        <v>6.4668135148000001</v>
      </c>
      <c r="U14" s="1">
        <v>4.1442564579000001</v>
      </c>
      <c r="V14" s="1">
        <v>5.9695440619999998</v>
      </c>
      <c r="W14" s="1">
        <v>3.4617532105</v>
      </c>
      <c r="X14" s="1">
        <v>4.9855971636999996</v>
      </c>
      <c r="Y14" s="1">
        <v>2.2476837892999999</v>
      </c>
      <c r="Z14" s="1">
        <v>3.0189922055</v>
      </c>
      <c r="AA14" s="1">
        <v>2.3310023310000001</v>
      </c>
      <c r="AB14" s="1">
        <v>2.0922805858000002</v>
      </c>
      <c r="AC14" s="1">
        <v>2.6215182960000001</v>
      </c>
      <c r="AD14" s="1">
        <v>2.3989300897999999</v>
      </c>
    </row>
    <row r="15" spans="1:30" x14ac:dyDescent="0.2">
      <c r="A15" s="1" t="s">
        <v>54</v>
      </c>
      <c r="B15" s="1">
        <v>13.789523392</v>
      </c>
      <c r="C15" s="1">
        <v>8.2812418332999993</v>
      </c>
      <c r="D15" s="1">
        <v>10.506956144</v>
      </c>
      <c r="E15" s="1">
        <v>12.22165624</v>
      </c>
      <c r="F15" s="1">
        <v>12.082832464000001</v>
      </c>
      <c r="G15" s="1">
        <v>11.716792638999999</v>
      </c>
      <c r="H15" s="1">
        <v>11.210948798</v>
      </c>
      <c r="I15" s="1">
        <v>9.3292086471999998</v>
      </c>
      <c r="J15" s="1">
        <v>8.8786347040999996</v>
      </c>
      <c r="K15" s="1">
        <v>8.9074104512000005</v>
      </c>
      <c r="L15" s="1">
        <v>8.7385727918999994</v>
      </c>
      <c r="M15" s="1">
        <v>7.7778062112999997</v>
      </c>
      <c r="N15" s="1">
        <v>8.2340340876999996</v>
      </c>
      <c r="O15" s="1">
        <v>8.3773175748999993</v>
      </c>
      <c r="P15" s="1">
        <v>8.3151501440000004</v>
      </c>
      <c r="Q15" s="1">
        <v>9.6742287216000005</v>
      </c>
      <c r="R15" s="1">
        <v>8.7034936331000008</v>
      </c>
      <c r="S15" s="1">
        <v>8.0240969804999995</v>
      </c>
      <c r="T15" s="1">
        <v>7.9353465263</v>
      </c>
      <c r="U15" s="1">
        <v>7.8542255733999999</v>
      </c>
      <c r="V15" s="1">
        <v>16.764109977</v>
      </c>
      <c r="W15" s="1">
        <v>8.4633232734000003</v>
      </c>
      <c r="X15" s="1">
        <v>6.7596618248000002</v>
      </c>
      <c r="Y15" s="1">
        <v>5.2518515829999997</v>
      </c>
      <c r="Z15" s="1">
        <v>5.4752134521000002</v>
      </c>
      <c r="AA15" s="1">
        <v>5.1182002193000002</v>
      </c>
      <c r="AB15" s="1">
        <v>4.3955486755999997</v>
      </c>
      <c r="AC15" s="1">
        <v>4.1358851529000003</v>
      </c>
      <c r="AD15" s="1">
        <v>2.1890776130999998</v>
      </c>
    </row>
    <row r="16" spans="1:30" x14ac:dyDescent="0.2">
      <c r="A16" s="1" t="s">
        <v>20</v>
      </c>
      <c r="D16" s="1">
        <v>9.8845379112000007</v>
      </c>
      <c r="E16" s="1">
        <v>14.984562415999999</v>
      </c>
      <c r="F16" s="1">
        <v>13.681224328000001</v>
      </c>
      <c r="G16" s="1">
        <v>11.481074565</v>
      </c>
      <c r="H16" s="1">
        <v>10.811543500999999</v>
      </c>
      <c r="I16" s="1">
        <v>11.087061969000001</v>
      </c>
      <c r="J16" s="1">
        <v>10.285754723</v>
      </c>
      <c r="K16" s="1">
        <v>9.5096192498000001</v>
      </c>
      <c r="L16" s="1">
        <v>9.9825933771000006</v>
      </c>
      <c r="M16" s="1">
        <v>9.2848188124999993</v>
      </c>
      <c r="N16" s="1">
        <v>9.1745951174000009</v>
      </c>
      <c r="O16" s="1">
        <v>8.7603459902999994</v>
      </c>
      <c r="P16" s="1">
        <v>7.9423516907999998</v>
      </c>
      <c r="Q16" s="1">
        <v>5.5950365808999996</v>
      </c>
      <c r="R16" s="1">
        <v>5.7526461049000002</v>
      </c>
      <c r="S16" s="1">
        <v>4.2764419457000002</v>
      </c>
      <c r="T16" s="1">
        <v>4.5595896922000003</v>
      </c>
      <c r="U16" s="1">
        <v>5.0354721035000001</v>
      </c>
      <c r="V16" s="1">
        <v>3.3036710865000001</v>
      </c>
      <c r="W16" s="1">
        <v>3.2957490569000001</v>
      </c>
      <c r="X16" s="1">
        <v>3.3832475116</v>
      </c>
      <c r="Y16" s="1">
        <v>2.4450475562</v>
      </c>
      <c r="Z16" s="1">
        <v>3.1664044487999998</v>
      </c>
      <c r="AA16" s="1">
        <v>3.3538989075000001</v>
      </c>
      <c r="AB16" s="1">
        <v>3.4949715464</v>
      </c>
      <c r="AC16" s="1">
        <v>4.1515106629999998</v>
      </c>
      <c r="AD16" s="1">
        <v>4.3558049657</v>
      </c>
    </row>
    <row r="17" spans="1:30" x14ac:dyDescent="0.2">
      <c r="A17" s="1" t="s">
        <v>21</v>
      </c>
      <c r="B17" s="1">
        <v>4.8700837519000002</v>
      </c>
      <c r="C17" s="1">
        <v>5.7877710887999996</v>
      </c>
      <c r="D17" s="1">
        <v>7.2123799145999996</v>
      </c>
      <c r="E17" s="1">
        <v>11.333133369</v>
      </c>
      <c r="F17" s="1">
        <v>12.74272144</v>
      </c>
      <c r="G17" s="1">
        <v>13.842131865000001</v>
      </c>
      <c r="H17" s="1">
        <v>11.238274733000001</v>
      </c>
      <c r="I17" s="1">
        <v>10.922059236000001</v>
      </c>
      <c r="J17" s="1">
        <v>8.7478974105000002</v>
      </c>
      <c r="K17" s="1">
        <v>8.7555526212999997</v>
      </c>
      <c r="L17" s="1">
        <v>10.565867905999999</v>
      </c>
      <c r="M17" s="1">
        <v>10.162300284000001</v>
      </c>
      <c r="N17" s="1">
        <v>8.505630408</v>
      </c>
      <c r="O17" s="1">
        <v>10.075073945</v>
      </c>
      <c r="P17" s="1">
        <v>10.144525476</v>
      </c>
      <c r="Q17" s="1">
        <v>11.123540372000001</v>
      </c>
      <c r="R17" s="1">
        <v>8.7184776327000009</v>
      </c>
      <c r="S17" s="1">
        <v>8.4995814647000003</v>
      </c>
      <c r="T17" s="1">
        <v>9.2752049804999999</v>
      </c>
      <c r="U17" s="1">
        <v>7.9563788373</v>
      </c>
      <c r="V17" s="1">
        <v>7.0106359990999998</v>
      </c>
      <c r="W17" s="1">
        <v>6.8430908457999999</v>
      </c>
      <c r="X17" s="1">
        <v>6.6326039766999996</v>
      </c>
      <c r="Y17" s="1">
        <v>6.5803948103999996</v>
      </c>
      <c r="Z17" s="1">
        <v>5.3508365141000001</v>
      </c>
      <c r="AA17" s="1">
        <v>5.8665589767000004</v>
      </c>
      <c r="AB17" s="1">
        <v>5.2949329568000003</v>
      </c>
      <c r="AC17" s="1">
        <v>4.5336029596999996</v>
      </c>
      <c r="AD17" s="1">
        <v>4.5693560420999999</v>
      </c>
    </row>
    <row r="18" spans="1:30" x14ac:dyDescent="0.2">
      <c r="A18" s="1" t="s">
        <v>16</v>
      </c>
      <c r="B18" s="1">
        <v>6.6429018760999998</v>
      </c>
      <c r="C18" s="1">
        <v>6.6284911291000004</v>
      </c>
      <c r="D18" s="1">
        <v>11.401013159</v>
      </c>
      <c r="E18" s="1">
        <v>8.8534952431999994</v>
      </c>
      <c r="F18" s="1">
        <v>9.1998008622</v>
      </c>
      <c r="G18" s="1">
        <v>9.2613881668999998</v>
      </c>
      <c r="H18" s="1">
        <v>9.2673574709000004</v>
      </c>
      <c r="I18" s="1">
        <v>9.6582811479000004</v>
      </c>
      <c r="J18" s="1">
        <v>8.8135027563000001</v>
      </c>
      <c r="K18" s="1">
        <v>9.2526092476000006</v>
      </c>
      <c r="L18" s="1">
        <v>10.303001029000001</v>
      </c>
      <c r="M18" s="1">
        <v>9.8158700407000001</v>
      </c>
      <c r="N18" s="1">
        <v>9.5973699856000003</v>
      </c>
      <c r="O18" s="1">
        <v>7.6438749797999996</v>
      </c>
      <c r="P18" s="1">
        <v>6.6459339121000003</v>
      </c>
      <c r="Q18" s="1">
        <v>7.1165889611999997</v>
      </c>
      <c r="R18" s="1">
        <v>6.3189415820999999</v>
      </c>
      <c r="S18" s="1">
        <v>5.2540731778999996</v>
      </c>
      <c r="T18" s="1">
        <v>5.7380632479999996</v>
      </c>
      <c r="U18" s="1">
        <v>6.0036387908000002</v>
      </c>
      <c r="V18" s="1">
        <v>6.4854175996999999</v>
      </c>
      <c r="W18" s="1">
        <v>5.2951987501</v>
      </c>
      <c r="X18" s="1">
        <v>5.6185233636999996</v>
      </c>
      <c r="Y18" s="1">
        <v>4.1476616637000001</v>
      </c>
      <c r="Z18" s="1">
        <v>4.2961579826999996</v>
      </c>
      <c r="AA18" s="1">
        <v>4.6429304015000001</v>
      </c>
      <c r="AB18" s="1">
        <v>4.9188234273000004</v>
      </c>
      <c r="AC18" s="1">
        <v>3.4731741634</v>
      </c>
      <c r="AD18" s="1">
        <v>4.0967929021999998</v>
      </c>
    </row>
    <row r="19" spans="1:30" x14ac:dyDescent="0.2">
      <c r="A19" s="1" t="s">
        <v>24</v>
      </c>
      <c r="N19" s="1">
        <v>4.4019035786999998</v>
      </c>
      <c r="O19" s="1">
        <v>3.2568993340999999</v>
      </c>
      <c r="P19" s="1">
        <v>2.2759157715999998</v>
      </c>
      <c r="Q19" s="1">
        <v>3.5691804512999998</v>
      </c>
      <c r="R19" s="1">
        <v>4.0462044175000003</v>
      </c>
      <c r="S19" s="1">
        <v>1.9368771729000001</v>
      </c>
      <c r="T19" s="1">
        <v>3.8627935723000002</v>
      </c>
      <c r="U19" s="1">
        <v>3.3711490641999999</v>
      </c>
      <c r="V19" s="1">
        <v>2.4027718376</v>
      </c>
      <c r="W19" s="1">
        <v>3.3585437354000001</v>
      </c>
      <c r="X19" s="1">
        <v>2.7159543144999998</v>
      </c>
      <c r="Y19" s="1">
        <v>1.5965718409</v>
      </c>
      <c r="Z19" s="1">
        <v>3.1915742439999999</v>
      </c>
      <c r="AA19" s="1">
        <v>2.7115097208000001</v>
      </c>
      <c r="AB19" s="1">
        <v>4.4637804074999998</v>
      </c>
      <c r="AC19" s="1">
        <v>2.3901982748999999</v>
      </c>
      <c r="AD19" s="1">
        <v>2.2299989009000001</v>
      </c>
    </row>
    <row r="20" spans="1:30" x14ac:dyDescent="0.2">
      <c r="A20" s="1" t="s">
        <v>55</v>
      </c>
      <c r="J20" s="1">
        <v>2.3856242284000002</v>
      </c>
      <c r="K20" s="1">
        <v>1.8771058782000001</v>
      </c>
      <c r="L20" s="1">
        <v>2.3097832095999999</v>
      </c>
      <c r="M20" s="1">
        <v>2.6923250136000001</v>
      </c>
      <c r="N20" s="1">
        <v>2.9283577282</v>
      </c>
      <c r="O20" s="1">
        <v>3.4089370641999999</v>
      </c>
      <c r="P20" s="1">
        <v>2.3820589156</v>
      </c>
      <c r="Q20" s="1">
        <v>2.1356320499999999</v>
      </c>
      <c r="R20" s="1">
        <v>2.2296198207</v>
      </c>
      <c r="S20" s="1">
        <v>2.0334965294999998</v>
      </c>
      <c r="T20" s="1">
        <v>1.6930221849</v>
      </c>
      <c r="U20" s="1">
        <v>1.6916139447</v>
      </c>
      <c r="V20" s="1">
        <v>2.0765553520000002</v>
      </c>
      <c r="W20" s="1">
        <v>1.4475383163</v>
      </c>
      <c r="X20" s="1">
        <v>1.3980788468000001</v>
      </c>
      <c r="Y20" s="1">
        <v>1.0596970711</v>
      </c>
      <c r="Z20" s="1">
        <v>1.684490177</v>
      </c>
      <c r="AA20" s="1">
        <v>1.2023074684999999</v>
      </c>
      <c r="AB20" s="1">
        <v>0.91313403943000004</v>
      </c>
      <c r="AC20" s="1">
        <v>1.4889557904999999</v>
      </c>
      <c r="AD20" s="1">
        <v>1.2002168071999999</v>
      </c>
    </row>
    <row r="21" spans="1:30" x14ac:dyDescent="0.2">
      <c r="A21" s="1" t="s">
        <v>11</v>
      </c>
      <c r="B21" s="1">
        <v>1.7887158793</v>
      </c>
      <c r="C21" s="1">
        <v>2.2293446881999999</v>
      </c>
      <c r="D21" s="1">
        <v>2.2435971611999999</v>
      </c>
      <c r="E21" s="1">
        <v>2.3628410581999999</v>
      </c>
      <c r="F21" s="1">
        <v>2.3886759152999999</v>
      </c>
      <c r="G21" s="1">
        <v>2.2179670307000001</v>
      </c>
      <c r="H21" s="1">
        <v>2.2669629592999998</v>
      </c>
      <c r="I21" s="1">
        <v>2.0936655642000002</v>
      </c>
      <c r="J21" s="1">
        <v>1.9681470824</v>
      </c>
      <c r="K21" s="1">
        <v>1.9212884673999999</v>
      </c>
      <c r="L21" s="1">
        <v>2.2175134858000001</v>
      </c>
      <c r="M21" s="1">
        <v>2.0140367459999999</v>
      </c>
      <c r="N21" s="1">
        <v>1.8602891658</v>
      </c>
      <c r="O21" s="1">
        <v>1.7220828327</v>
      </c>
      <c r="P21" s="1">
        <v>1.6484566891000001</v>
      </c>
      <c r="Q21" s="1">
        <v>1.4464818525000001</v>
      </c>
      <c r="R21" s="1">
        <v>1.2775572021999999</v>
      </c>
      <c r="S21" s="1">
        <v>1.3688508319999999</v>
      </c>
      <c r="T21" s="1">
        <v>0.84991479734999997</v>
      </c>
      <c r="U21" s="1">
        <v>1.0090758419000001</v>
      </c>
      <c r="V21" s="1">
        <v>1.0018318914</v>
      </c>
      <c r="W21" s="1">
        <v>1.1022068584</v>
      </c>
      <c r="X21" s="1">
        <v>1.0699234754</v>
      </c>
      <c r="Y21" s="1">
        <v>0.79930723911000001</v>
      </c>
      <c r="Z21" s="1">
        <v>0.75345694315</v>
      </c>
      <c r="AA21" s="1">
        <v>0.78350792588999996</v>
      </c>
      <c r="AB21" s="1">
        <v>0.68440471714999995</v>
      </c>
      <c r="AC21" s="1">
        <v>0.75619494926999997</v>
      </c>
      <c r="AD21" s="1">
        <v>0.73045470014000002</v>
      </c>
    </row>
    <row r="22" spans="1:30" x14ac:dyDescent="0.2">
      <c r="A22" s="1" t="s">
        <v>17</v>
      </c>
      <c r="B22" s="1">
        <v>3.3887977925000001</v>
      </c>
      <c r="C22" s="1">
        <v>3.5213900572000001</v>
      </c>
      <c r="D22" s="1">
        <v>3.5891776753000002</v>
      </c>
      <c r="E22" s="1">
        <v>3.1689439707</v>
      </c>
      <c r="F22" s="1">
        <v>3.3570091886000002</v>
      </c>
      <c r="G22" s="1">
        <v>3.3007113033</v>
      </c>
      <c r="H22" s="1">
        <v>3.1658743650000001</v>
      </c>
      <c r="I22" s="1">
        <v>3.0612785807999998</v>
      </c>
      <c r="J22" s="1">
        <v>2.4970743946999998</v>
      </c>
      <c r="K22" s="1">
        <v>2.5383303580000001</v>
      </c>
      <c r="L22" s="1">
        <v>2.5115841171</v>
      </c>
      <c r="M22" s="1">
        <v>3.1788109828</v>
      </c>
      <c r="N22" s="1">
        <v>3.0018379850999999</v>
      </c>
      <c r="O22" s="1">
        <v>3.2043604346999999</v>
      </c>
      <c r="P22" s="1">
        <v>2.2569398583</v>
      </c>
      <c r="Q22" s="1">
        <v>2.0217313239000001</v>
      </c>
      <c r="R22" s="1">
        <v>1.6812411911</v>
      </c>
      <c r="S22" s="1">
        <v>1.8018278426000001</v>
      </c>
      <c r="T22" s="1">
        <v>1.4498653137999999</v>
      </c>
      <c r="U22" s="1">
        <v>1.2501214385999999</v>
      </c>
      <c r="V22" s="1">
        <v>1.2993445637000001</v>
      </c>
      <c r="W22" s="1">
        <v>1.0080289257999999</v>
      </c>
      <c r="X22" s="1">
        <v>1.0480798214</v>
      </c>
      <c r="Y22" s="1">
        <v>1.0828112163000001</v>
      </c>
      <c r="Z22" s="1">
        <v>1.6220860846</v>
      </c>
      <c r="AA22" s="1">
        <v>1.701364635</v>
      </c>
      <c r="AB22" s="1">
        <v>1.5457449581</v>
      </c>
      <c r="AC22" s="1">
        <v>1.297448057</v>
      </c>
      <c r="AD22" s="1">
        <v>1.2816496985000001</v>
      </c>
    </row>
    <row r="23" spans="1:30" x14ac:dyDescent="0.2">
      <c r="A23" s="1" t="s">
        <v>38</v>
      </c>
      <c r="B23" s="1">
        <v>14.332526351</v>
      </c>
      <c r="C23" s="1">
        <v>15.284915528000001</v>
      </c>
      <c r="D23" s="1">
        <v>22.872007619000001</v>
      </c>
      <c r="E23" s="1">
        <v>30.369287298</v>
      </c>
      <c r="F23" s="1">
        <v>32.268405618000003</v>
      </c>
      <c r="G23" s="1">
        <v>30.532127205999998</v>
      </c>
      <c r="H23" s="1">
        <v>26.403712363</v>
      </c>
      <c r="I23" s="1">
        <v>23.688482543999999</v>
      </c>
      <c r="J23" s="1">
        <v>22.769313533999998</v>
      </c>
      <c r="K23" s="1">
        <v>26.018283996000001</v>
      </c>
      <c r="L23" s="1">
        <v>28.066002439999998</v>
      </c>
      <c r="M23" s="1">
        <v>29.432069069000001</v>
      </c>
      <c r="N23" s="1">
        <v>30.473287576000001</v>
      </c>
      <c r="O23" s="1">
        <v>28.880262089999999</v>
      </c>
      <c r="P23" s="1">
        <v>27.245851730999998</v>
      </c>
      <c r="Q23" s="1">
        <v>24.803698003000001</v>
      </c>
      <c r="R23" s="1">
        <v>20.113908429999999</v>
      </c>
      <c r="S23" s="1">
        <v>17.713179215</v>
      </c>
      <c r="T23" s="1">
        <v>12.69679367</v>
      </c>
      <c r="U23" s="1">
        <v>12.320785216999999</v>
      </c>
      <c r="V23" s="1">
        <v>11.632342185000001</v>
      </c>
      <c r="W23" s="1">
        <v>11.255851973</v>
      </c>
      <c r="X23" s="1">
        <v>11.283117795000001</v>
      </c>
      <c r="Y23" s="1">
        <v>11.108920382999999</v>
      </c>
      <c r="Z23" s="1">
        <v>11.416734255</v>
      </c>
      <c r="AA23" s="1">
        <v>11.481183036999999</v>
      </c>
      <c r="AB23" s="1">
        <v>10.919951236999999</v>
      </c>
      <c r="AC23" s="1">
        <v>9.1341934225999992</v>
      </c>
      <c r="AD23" s="1">
        <v>8.2094756259999997</v>
      </c>
    </row>
    <row r="24" spans="1:30" x14ac:dyDescent="0.2">
      <c r="A24" s="1" t="s">
        <v>19</v>
      </c>
      <c r="L24" s="1">
        <v>2.4031336862999999</v>
      </c>
      <c r="M24" s="1">
        <v>2.5821481750999999</v>
      </c>
      <c r="N24" s="1">
        <v>2.1398466843000001</v>
      </c>
      <c r="O24" s="1">
        <v>1.8940551635</v>
      </c>
      <c r="P24" s="1">
        <v>1.7743842319000001</v>
      </c>
      <c r="Q24" s="1">
        <v>1.5989004786000001</v>
      </c>
      <c r="R24" s="1">
        <v>1.7056799031000001</v>
      </c>
      <c r="S24" s="1">
        <v>1.8788753865000001</v>
      </c>
      <c r="T24" s="1">
        <v>1.5452359548000001</v>
      </c>
      <c r="U24" s="1">
        <v>1.7066824598000001</v>
      </c>
      <c r="V24" s="1">
        <v>1.4458488456</v>
      </c>
      <c r="W24" s="1">
        <v>1.5060642514</v>
      </c>
      <c r="X24" s="1">
        <v>1.2415946281000001</v>
      </c>
      <c r="Y24" s="1">
        <v>1.5921260174</v>
      </c>
      <c r="Z24" s="1">
        <v>1.3485746241000001</v>
      </c>
      <c r="AA24" s="1">
        <v>1.1715964026000001</v>
      </c>
      <c r="AB24" s="1">
        <v>1.3892084256999999</v>
      </c>
      <c r="AC24" s="1">
        <v>1.0645981148000001</v>
      </c>
      <c r="AD24" s="1">
        <v>1.2268905787</v>
      </c>
    </row>
    <row r="25" spans="1:30" x14ac:dyDescent="0.2">
      <c r="A25" s="1" t="s">
        <v>56</v>
      </c>
      <c r="B25" s="1">
        <v>1.7585476286999999</v>
      </c>
      <c r="C25" s="1">
        <v>2.4108961959999999</v>
      </c>
      <c r="E25" s="1">
        <v>2.5620828200000001</v>
      </c>
      <c r="F25" s="1">
        <v>2.4054176719</v>
      </c>
      <c r="G25" s="1">
        <v>2.3811871334000001</v>
      </c>
      <c r="H25" s="1">
        <v>2.4513481671999999</v>
      </c>
      <c r="I25" s="1">
        <v>2.5968234912999999</v>
      </c>
      <c r="J25" s="1">
        <v>2.3724559349000001</v>
      </c>
      <c r="K25" s="1">
        <v>2.6122193694</v>
      </c>
      <c r="L25" s="1">
        <v>2.3892397532</v>
      </c>
      <c r="M25" s="1">
        <v>2.1851872084999999</v>
      </c>
      <c r="N25" s="1">
        <v>2.2406892879</v>
      </c>
      <c r="O25" s="1">
        <v>2.5371103313000001</v>
      </c>
      <c r="P25" s="1">
        <v>2.0002318787000002</v>
      </c>
      <c r="Q25" s="1">
        <v>1.7225533353</v>
      </c>
      <c r="R25" s="1">
        <v>1.5188914908</v>
      </c>
      <c r="S25" s="1">
        <v>1.5188861452</v>
      </c>
      <c r="T25" s="1">
        <v>1.5927807767</v>
      </c>
      <c r="U25" s="1">
        <v>1.4441371641</v>
      </c>
      <c r="V25" s="1">
        <v>1.5173122553</v>
      </c>
      <c r="W25" s="1">
        <v>1.6269385527</v>
      </c>
      <c r="X25" s="1">
        <v>1.1634576780000001</v>
      </c>
      <c r="Y25" s="1">
        <v>1.3095472821</v>
      </c>
      <c r="Z25" s="1">
        <v>1.2709995840999999</v>
      </c>
      <c r="AA25" s="1">
        <v>0.80947616957000001</v>
      </c>
      <c r="AB25" s="1">
        <v>1.0474088482999999</v>
      </c>
      <c r="AC25" s="1">
        <v>1.4684549266</v>
      </c>
      <c r="AD25" s="1">
        <v>1.1369852689</v>
      </c>
    </row>
    <row r="26" spans="1:30" x14ac:dyDescent="0.2">
      <c r="A26" s="1" t="s">
        <v>6</v>
      </c>
      <c r="B26" s="1">
        <v>2.0434568512000002</v>
      </c>
      <c r="C26" s="1">
        <v>1.9922501469</v>
      </c>
      <c r="D26" s="1">
        <v>2.3935947405000002</v>
      </c>
      <c r="E26" s="1">
        <v>1.2996361019</v>
      </c>
      <c r="F26" s="1">
        <v>2.0548020723999998</v>
      </c>
      <c r="G26" s="1">
        <v>2.2098049043999999</v>
      </c>
      <c r="H26" s="1">
        <v>1.9109113035</v>
      </c>
      <c r="I26" s="1">
        <v>1.8113599439000001</v>
      </c>
      <c r="J26" s="1">
        <v>0.70444363042000002</v>
      </c>
      <c r="K26" s="1">
        <v>1.2577825294</v>
      </c>
      <c r="L26" s="1">
        <v>1.8111293901000001</v>
      </c>
      <c r="M26" s="1">
        <v>1.4088355119</v>
      </c>
      <c r="N26" s="1">
        <v>1.8115349488000001</v>
      </c>
      <c r="O26" s="1">
        <v>1.0564150805999999</v>
      </c>
      <c r="P26" s="1">
        <v>1.3566298501</v>
      </c>
      <c r="Q26" s="1">
        <v>1.0025168185</v>
      </c>
      <c r="R26" s="1">
        <v>0.59927278248000004</v>
      </c>
      <c r="S26" s="1">
        <v>1.1927670605</v>
      </c>
      <c r="T26" s="1">
        <v>0.49430340045999999</v>
      </c>
      <c r="U26" s="1">
        <v>0.63919536120999998</v>
      </c>
      <c r="V26" s="1">
        <v>0.73409365860999998</v>
      </c>
      <c r="W26" s="1">
        <v>0.78000154050000003</v>
      </c>
      <c r="X26" s="1">
        <v>0.68032962941999997</v>
      </c>
      <c r="Y26" s="1">
        <v>0.58164333630999998</v>
      </c>
      <c r="Z26" s="1">
        <v>0.77388599112000001</v>
      </c>
      <c r="AA26" s="1">
        <v>0.96562425918999995</v>
      </c>
      <c r="AB26" s="1">
        <v>0.48211242380000002</v>
      </c>
      <c r="AC26" s="1">
        <v>0.91504747410999998</v>
      </c>
      <c r="AD26" s="1">
        <v>0.48126993661</v>
      </c>
    </row>
    <row r="27" spans="1:30" x14ac:dyDescent="0.2">
      <c r="A27" s="1" t="s">
        <v>28</v>
      </c>
      <c r="B27" s="1">
        <v>3.1795232645999998</v>
      </c>
      <c r="C27" s="1">
        <v>2.7404179804000002</v>
      </c>
      <c r="D27" s="1">
        <v>10.995022254</v>
      </c>
      <c r="E27" s="1">
        <v>23.313536494000001</v>
      </c>
      <c r="F27" s="1">
        <v>11.198821518000001</v>
      </c>
      <c r="G27" s="1">
        <v>7.5457873170000003</v>
      </c>
      <c r="H27" s="1">
        <v>8.2715897893000001</v>
      </c>
      <c r="I27" s="1">
        <v>8.3860916164999999</v>
      </c>
      <c r="J27" s="1">
        <v>8.1461394184000007</v>
      </c>
      <c r="K27" s="1">
        <v>5.8336536124</v>
      </c>
      <c r="L27" s="1">
        <v>4.5525260970000003</v>
      </c>
      <c r="M27" s="1">
        <v>3.6875782422999999</v>
      </c>
      <c r="N27" s="1">
        <v>2.8007451848999998</v>
      </c>
      <c r="O27" s="1">
        <v>2.5070510812000002</v>
      </c>
      <c r="P27" s="1">
        <v>2.1313669522000001</v>
      </c>
      <c r="Q27" s="1">
        <v>2.3124561258999998</v>
      </c>
      <c r="R27" s="1">
        <v>2.8024193256999999</v>
      </c>
      <c r="S27" s="1">
        <v>1.8689823547</v>
      </c>
      <c r="T27" s="1">
        <v>1.3869771719999999</v>
      </c>
      <c r="U27" s="1">
        <v>1.3170844042000001</v>
      </c>
      <c r="V27" s="1">
        <v>2.4045496737000001</v>
      </c>
      <c r="W27" s="1">
        <v>1.6368936072</v>
      </c>
    </row>
    <row r="28" spans="1:30" x14ac:dyDescent="0.2">
      <c r="A28" s="1" t="s">
        <v>32</v>
      </c>
      <c r="B28" s="1">
        <v>9.0119973572000003</v>
      </c>
      <c r="C28" s="1">
        <v>8.0756088112000004</v>
      </c>
      <c r="D28" s="1">
        <v>7.5900491379000004</v>
      </c>
      <c r="E28" s="1">
        <v>8.2776730464000003</v>
      </c>
      <c r="F28" s="1">
        <v>7.4846206840000002</v>
      </c>
      <c r="G28" s="1">
        <v>6.3928271054000003</v>
      </c>
      <c r="H28" s="1">
        <v>7.7903836344000004</v>
      </c>
      <c r="I28" s="1">
        <v>8.2202003386999998</v>
      </c>
      <c r="J28" s="1">
        <v>7.8169660791000002</v>
      </c>
      <c r="K28" s="1">
        <v>7.1874259007000001</v>
      </c>
      <c r="L28" s="1">
        <v>5.9121442085</v>
      </c>
      <c r="M28" s="1">
        <v>5.4337263947999999</v>
      </c>
      <c r="N28" s="1">
        <v>5.2277453146999999</v>
      </c>
      <c r="O28" s="1">
        <v>5.0045620987000001</v>
      </c>
      <c r="P28" s="1">
        <v>4.4435977748999997</v>
      </c>
      <c r="Q28" s="1">
        <v>4.3325988947000003</v>
      </c>
      <c r="R28" s="1">
        <v>4.2202741972000002</v>
      </c>
    </row>
    <row r="29" spans="1:30" x14ac:dyDescent="0.2">
      <c r="A29" s="1" t="s">
        <v>8</v>
      </c>
      <c r="B29" s="1">
        <v>4.9705516191000001</v>
      </c>
      <c r="C29" s="1">
        <v>5.1456169769000004</v>
      </c>
      <c r="D29" s="1">
        <v>6.5543854411</v>
      </c>
      <c r="E29" s="1">
        <v>7.2024301654</v>
      </c>
      <c r="F29" s="1">
        <v>8.2564692799999992</v>
      </c>
      <c r="G29" s="1">
        <v>8.6575097964999994</v>
      </c>
      <c r="H29" s="1">
        <v>9.6796259315000004</v>
      </c>
      <c r="I29" s="1">
        <v>8.4304230076</v>
      </c>
      <c r="J29" s="1">
        <v>8.4327501642999998</v>
      </c>
      <c r="K29" s="1">
        <v>8.6226592244999996</v>
      </c>
      <c r="L29" s="1">
        <v>9.0462237462000008</v>
      </c>
      <c r="M29" s="1">
        <v>10.028584151</v>
      </c>
      <c r="N29" s="1">
        <v>8.9537245628999997</v>
      </c>
      <c r="O29" s="1">
        <v>8.4926246881999994</v>
      </c>
      <c r="P29" s="1">
        <v>7.3849755118999996</v>
      </c>
      <c r="Q29" s="1">
        <v>6.4618253803999997</v>
      </c>
      <c r="R29" s="1">
        <v>6.3466320593000001</v>
      </c>
      <c r="S29" s="1">
        <v>5.7067251815000004</v>
      </c>
      <c r="T29" s="1">
        <v>5.3424371118999998</v>
      </c>
      <c r="U29" s="1">
        <v>4.8726432448999999</v>
      </c>
      <c r="V29" s="1">
        <v>4.3413615182000003</v>
      </c>
      <c r="X29" s="1">
        <v>5.1392837188999998</v>
      </c>
      <c r="Z29" s="1">
        <v>6.3065916850999999</v>
      </c>
      <c r="AC29" s="1">
        <v>6.1837305711999999</v>
      </c>
    </row>
    <row r="30" spans="1:30" x14ac:dyDescent="0.2">
      <c r="A30" s="1" t="s">
        <v>33</v>
      </c>
      <c r="B30" s="1">
        <v>5.5151527719000004</v>
      </c>
      <c r="C30" s="1">
        <v>5.0850228266000004</v>
      </c>
      <c r="D30" s="1">
        <v>5.3566965772000001</v>
      </c>
      <c r="E30" s="1">
        <v>5.2099595397999998</v>
      </c>
      <c r="F30" s="1">
        <v>5.4575079505000001</v>
      </c>
      <c r="G30" s="1">
        <v>5.0765579602999997</v>
      </c>
      <c r="H30" s="1">
        <v>4.9644131660999999</v>
      </c>
      <c r="I30" s="1">
        <v>4.4584529920999998</v>
      </c>
      <c r="J30" s="1">
        <v>4.4308505856</v>
      </c>
      <c r="K30" s="1">
        <v>4.1536862264999996</v>
      </c>
      <c r="L30" s="1">
        <v>4.3116751726000002</v>
      </c>
      <c r="M30" s="1">
        <v>4.3053056739000004</v>
      </c>
      <c r="N30" s="1">
        <v>4.1602578510999999</v>
      </c>
      <c r="O30" s="1">
        <v>3.7399352342999999</v>
      </c>
      <c r="P30" s="1">
        <v>3.6889878038999999</v>
      </c>
      <c r="Q30" s="1">
        <v>3.4433457060000001</v>
      </c>
      <c r="R30" s="1">
        <v>3.2121991040000002</v>
      </c>
      <c r="S30" s="1">
        <v>2.9958046605000002</v>
      </c>
      <c r="T30" s="1">
        <v>3.0079290965999999</v>
      </c>
      <c r="Z30" s="1">
        <v>1.4789790732000001</v>
      </c>
      <c r="AA30" s="1">
        <v>1.6359756344</v>
      </c>
      <c r="AB30" s="1">
        <v>1.4121350041</v>
      </c>
      <c r="AC30" s="1">
        <v>1.1358027750999999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FEC51-AFA5-A943-9F0C-39743B5EA72F}">
  <dimension ref="A1:AV30"/>
  <sheetViews>
    <sheetView workbookViewId="0">
      <selection activeCell="B61" sqref="B61"/>
    </sheetView>
  </sheetViews>
  <sheetFormatPr baseColWidth="10" defaultRowHeight="16" x14ac:dyDescent="0.2"/>
  <cols>
    <col min="1" max="16384" width="10.83203125" style="1"/>
  </cols>
  <sheetData>
    <row r="1" spans="1:48" x14ac:dyDescent="0.2">
      <c r="B1" s="1">
        <v>1970</v>
      </c>
      <c r="C1" s="1">
        <v>1971</v>
      </c>
      <c r="D1" s="1">
        <v>1972</v>
      </c>
      <c r="E1" s="1">
        <v>1973</v>
      </c>
      <c r="F1" s="1">
        <v>1974</v>
      </c>
      <c r="G1" s="1">
        <v>1975</v>
      </c>
      <c r="H1" s="1">
        <v>1976</v>
      </c>
      <c r="I1" s="1">
        <v>1977</v>
      </c>
      <c r="J1" s="1">
        <v>1978</v>
      </c>
      <c r="K1" s="1">
        <v>1979</v>
      </c>
      <c r="L1" s="1">
        <v>1980</v>
      </c>
      <c r="M1" s="1">
        <v>1981</v>
      </c>
      <c r="N1" s="1">
        <v>1982</v>
      </c>
      <c r="O1" s="1">
        <v>1983</v>
      </c>
      <c r="P1" s="1">
        <v>1984</v>
      </c>
      <c r="Q1" s="1">
        <v>1985</v>
      </c>
      <c r="R1" s="1">
        <v>1986</v>
      </c>
      <c r="S1" s="1">
        <v>1987</v>
      </c>
      <c r="T1" s="1">
        <v>1988</v>
      </c>
      <c r="U1" s="1">
        <v>1989</v>
      </c>
      <c r="V1" s="1">
        <v>1990</v>
      </c>
      <c r="W1" s="1">
        <v>1991</v>
      </c>
      <c r="X1" s="1">
        <v>1992</v>
      </c>
      <c r="Y1" s="1">
        <v>1993</v>
      </c>
      <c r="Z1" s="1">
        <v>1994</v>
      </c>
      <c r="AA1" s="1">
        <v>1995</v>
      </c>
      <c r="AB1" s="1">
        <v>1996</v>
      </c>
      <c r="AC1" s="1">
        <v>1997</v>
      </c>
      <c r="AD1" s="1">
        <v>1998</v>
      </c>
      <c r="AE1" s="1">
        <v>1999</v>
      </c>
      <c r="AF1" s="1">
        <v>2000</v>
      </c>
      <c r="AG1" s="1">
        <v>2001</v>
      </c>
      <c r="AH1" s="1">
        <v>2002</v>
      </c>
      <c r="AI1" s="1">
        <v>2003</v>
      </c>
      <c r="AJ1" s="1">
        <v>2004</v>
      </c>
      <c r="AK1" s="1">
        <v>2005</v>
      </c>
      <c r="AL1" s="1">
        <v>2006</v>
      </c>
      <c r="AM1" s="1">
        <v>2007</v>
      </c>
      <c r="AN1" s="1">
        <v>2008</v>
      </c>
      <c r="AO1" s="1">
        <v>2009</v>
      </c>
      <c r="AP1" s="1">
        <v>2010</v>
      </c>
      <c r="AQ1" s="1">
        <v>2011</v>
      </c>
      <c r="AR1" s="1">
        <v>2012</v>
      </c>
      <c r="AS1" s="1">
        <v>2013</v>
      </c>
      <c r="AT1" s="1">
        <v>2014</v>
      </c>
      <c r="AU1" s="1">
        <v>2015</v>
      </c>
      <c r="AV1" s="1">
        <v>2016</v>
      </c>
    </row>
    <row r="2" spans="1:48" x14ac:dyDescent="0.2">
      <c r="A2" s="1" t="s">
        <v>27</v>
      </c>
      <c r="B2" s="1">
        <v>66.933000000000007</v>
      </c>
      <c r="C2" s="1">
        <v>67.234999999999999</v>
      </c>
      <c r="D2" s="1">
        <v>67.58</v>
      </c>
      <c r="E2" s="1">
        <v>67.950999999999993</v>
      </c>
      <c r="F2" s="1">
        <v>68.340999999999994</v>
      </c>
      <c r="G2" s="1">
        <v>68.733999999999995</v>
      </c>
      <c r="H2" s="1">
        <v>69.108000000000004</v>
      </c>
      <c r="I2" s="1">
        <v>69.447000000000003</v>
      </c>
      <c r="J2" s="1">
        <v>69.741</v>
      </c>
      <c r="K2" s="1">
        <v>69.989999999999995</v>
      </c>
      <c r="L2" s="1">
        <v>70.206999999999994</v>
      </c>
      <c r="M2" s="1">
        <v>70.415999999999997</v>
      </c>
      <c r="N2" s="1">
        <v>70.635000000000005</v>
      </c>
      <c r="O2" s="1">
        <v>70.876000000000005</v>
      </c>
      <c r="P2" s="1">
        <v>71.134</v>
      </c>
      <c r="Q2" s="1">
        <v>71.388000000000005</v>
      </c>
      <c r="R2" s="1">
        <v>71.605000000000004</v>
      </c>
      <c r="S2" s="1">
        <v>71.760000000000005</v>
      </c>
      <c r="T2" s="1">
        <v>71.843000000000004</v>
      </c>
      <c r="U2" s="1">
        <v>71.86</v>
      </c>
      <c r="V2" s="1">
        <v>71.835999999999999</v>
      </c>
      <c r="W2" s="1">
        <v>71.802999999999997</v>
      </c>
      <c r="X2" s="1">
        <v>71.802000000000007</v>
      </c>
      <c r="Y2" s="1">
        <v>71.86</v>
      </c>
      <c r="Z2" s="1">
        <v>71.992000000000004</v>
      </c>
      <c r="AA2" s="1">
        <v>72.204999999999998</v>
      </c>
      <c r="AB2" s="1">
        <v>72.495000000000005</v>
      </c>
      <c r="AC2" s="1">
        <v>72.837999999999994</v>
      </c>
      <c r="AD2" s="1">
        <v>73.207999999999998</v>
      </c>
      <c r="AE2" s="1">
        <v>73.587999999999994</v>
      </c>
      <c r="AF2" s="1">
        <v>73.954999999999998</v>
      </c>
      <c r="AG2" s="1">
        <v>74.286000000000001</v>
      </c>
      <c r="AH2" s="1">
        <v>74.575000000000003</v>
      </c>
      <c r="AI2" s="1">
        <v>74.819999999999993</v>
      </c>
      <c r="AJ2" s="1">
        <v>75.028000000000006</v>
      </c>
      <c r="AK2" s="1">
        <v>75.216999999999999</v>
      </c>
      <c r="AL2" s="1">
        <v>75.418000000000006</v>
      </c>
      <c r="AM2" s="1">
        <v>75.656000000000006</v>
      </c>
      <c r="AN2" s="1">
        <v>75.942999999999998</v>
      </c>
      <c r="AO2" s="1">
        <v>76.281000000000006</v>
      </c>
      <c r="AP2" s="1">
        <v>76.652000000000001</v>
      </c>
      <c r="AQ2" s="1">
        <v>77.031000000000006</v>
      </c>
      <c r="AR2" s="1">
        <v>77.388999999999996</v>
      </c>
      <c r="AS2" s="1">
        <v>77.701999999999998</v>
      </c>
      <c r="AT2" s="1">
        <v>77.962999999999994</v>
      </c>
      <c r="AU2" s="1">
        <v>78.174000000000007</v>
      </c>
      <c r="AV2" s="1">
        <v>78.344999999999999</v>
      </c>
    </row>
    <row r="3" spans="1:48" x14ac:dyDescent="0.2">
      <c r="A3" s="1" t="s">
        <v>23</v>
      </c>
      <c r="B3" s="1">
        <v>70.143000000000001</v>
      </c>
      <c r="C3" s="1">
        <v>70.411000000000001</v>
      </c>
      <c r="D3" s="1">
        <v>70.603999999999999</v>
      </c>
      <c r="E3" s="1">
        <v>70.722999999999999</v>
      </c>
      <c r="F3" s="1">
        <v>70.774000000000001</v>
      </c>
      <c r="G3" s="1">
        <v>70.783000000000001</v>
      </c>
      <c r="H3" s="1">
        <v>70.783000000000001</v>
      </c>
      <c r="I3" s="1">
        <v>70.798000000000002</v>
      </c>
      <c r="J3" s="1">
        <v>70.837999999999994</v>
      </c>
      <c r="K3" s="1">
        <v>70.897000000000006</v>
      </c>
      <c r="L3" s="1">
        <v>70.938000000000002</v>
      </c>
      <c r="M3" s="1">
        <v>70.91</v>
      </c>
      <c r="N3" s="1">
        <v>70.775999999999996</v>
      </c>
      <c r="O3" s="1">
        <v>70.519000000000005</v>
      </c>
      <c r="P3" s="1">
        <v>70.150000000000006</v>
      </c>
      <c r="Q3" s="1">
        <v>69.697999999999993</v>
      </c>
      <c r="R3" s="1">
        <v>69.204999999999998</v>
      </c>
      <c r="S3" s="1">
        <v>68.731999999999999</v>
      </c>
      <c r="T3" s="1">
        <v>68.331999999999994</v>
      </c>
      <c r="U3" s="1">
        <v>68.037999999999997</v>
      </c>
      <c r="V3" s="1">
        <v>67.879000000000005</v>
      </c>
      <c r="W3" s="1">
        <v>67.87</v>
      </c>
      <c r="X3" s="1">
        <v>67.989999999999995</v>
      </c>
      <c r="Y3" s="1">
        <v>68.218000000000004</v>
      </c>
      <c r="Z3" s="1">
        <v>68.537999999999997</v>
      </c>
      <c r="AA3" s="1">
        <v>68.938000000000002</v>
      </c>
      <c r="AB3" s="1">
        <v>69.403999999999996</v>
      </c>
      <c r="AC3" s="1">
        <v>69.912000000000006</v>
      </c>
      <c r="AD3" s="1">
        <v>70.433999999999997</v>
      </c>
      <c r="AE3" s="1">
        <v>70.944000000000003</v>
      </c>
      <c r="AF3" s="1">
        <v>71.409000000000006</v>
      </c>
      <c r="AG3" s="1">
        <v>71.8</v>
      </c>
      <c r="AH3" s="1">
        <v>72.111999999999995</v>
      </c>
      <c r="AI3" s="1">
        <v>72.346999999999994</v>
      </c>
      <c r="AJ3" s="1">
        <v>72.512</v>
      </c>
      <c r="AK3" s="1">
        <v>72.625</v>
      </c>
      <c r="AL3" s="1">
        <v>72.715000000000003</v>
      </c>
      <c r="AM3" s="1">
        <v>72.814999999999998</v>
      </c>
      <c r="AN3" s="1">
        <v>72.945999999999998</v>
      </c>
      <c r="AO3" s="1">
        <v>73.119</v>
      </c>
      <c r="AP3" s="1">
        <v>73.331000000000003</v>
      </c>
      <c r="AQ3" s="1">
        <v>73.570999999999998</v>
      </c>
      <c r="AR3" s="1">
        <v>73.813999999999993</v>
      </c>
      <c r="AS3" s="1">
        <v>74.043999999999997</v>
      </c>
      <c r="AT3" s="1">
        <v>74.254999999999995</v>
      </c>
      <c r="AU3" s="1">
        <v>74.444999999999993</v>
      </c>
      <c r="AV3" s="1">
        <v>74.617999999999995</v>
      </c>
    </row>
    <row r="4" spans="1:48" x14ac:dyDescent="0.2">
      <c r="A4" s="1" t="s">
        <v>29</v>
      </c>
      <c r="B4" s="1">
        <v>63.140999999999998</v>
      </c>
      <c r="C4" s="1">
        <v>63.31</v>
      </c>
      <c r="D4" s="1">
        <v>63.457000000000001</v>
      </c>
      <c r="E4" s="1">
        <v>63.582999999999998</v>
      </c>
      <c r="F4" s="1">
        <v>63.688000000000002</v>
      </c>
      <c r="G4" s="1">
        <v>63.776000000000003</v>
      </c>
      <c r="H4" s="1">
        <v>63.851999999999997</v>
      </c>
      <c r="I4" s="1">
        <v>63.921999999999997</v>
      </c>
      <c r="J4" s="1">
        <v>63.991999999999997</v>
      </c>
      <c r="K4" s="1">
        <v>64.069000000000003</v>
      </c>
      <c r="L4" s="1">
        <v>64.161000000000001</v>
      </c>
      <c r="M4" s="1">
        <v>64.28</v>
      </c>
      <c r="N4" s="1">
        <v>64.424000000000007</v>
      </c>
      <c r="O4" s="1">
        <v>64.587000000000003</v>
      </c>
      <c r="P4" s="1">
        <v>64.759</v>
      </c>
      <c r="Q4" s="1">
        <v>64.912999999999997</v>
      </c>
      <c r="R4" s="1">
        <v>65.016000000000005</v>
      </c>
      <c r="S4" s="1">
        <v>65.052999999999997</v>
      </c>
      <c r="T4" s="1">
        <v>65.021000000000001</v>
      </c>
      <c r="U4" s="1">
        <v>64.935000000000002</v>
      </c>
      <c r="V4" s="1">
        <v>64.826999999999998</v>
      </c>
      <c r="W4" s="1">
        <v>64.745000000000005</v>
      </c>
      <c r="X4" s="1">
        <v>64.730999999999995</v>
      </c>
      <c r="Y4" s="1">
        <v>64.81</v>
      </c>
      <c r="Z4" s="1">
        <v>64.991</v>
      </c>
      <c r="AA4" s="1">
        <v>65.256</v>
      </c>
      <c r="AB4" s="1">
        <v>65.572999999999993</v>
      </c>
      <c r="AC4" s="1">
        <v>65.899000000000001</v>
      </c>
      <c r="AD4" s="1">
        <v>66.206999999999994</v>
      </c>
      <c r="AE4" s="1">
        <v>66.491</v>
      </c>
      <c r="AF4" s="1">
        <v>66.763000000000005</v>
      </c>
      <c r="AG4" s="1">
        <v>67.054000000000002</v>
      </c>
      <c r="AH4" s="1">
        <v>67.391000000000005</v>
      </c>
      <c r="AI4" s="1">
        <v>67.790999999999997</v>
      </c>
      <c r="AJ4" s="1">
        <v>68.248999999999995</v>
      </c>
      <c r="AK4" s="1">
        <v>68.75</v>
      </c>
      <c r="AL4" s="1">
        <v>69.269000000000005</v>
      </c>
      <c r="AM4" s="1">
        <v>69.774000000000001</v>
      </c>
      <c r="AN4" s="1">
        <v>70.238</v>
      </c>
      <c r="AO4" s="1">
        <v>70.646000000000001</v>
      </c>
      <c r="AP4" s="1">
        <v>70.986999999999995</v>
      </c>
      <c r="AQ4" s="1">
        <v>71.260000000000005</v>
      </c>
      <c r="AR4" s="1">
        <v>71.477999999999994</v>
      </c>
      <c r="AS4" s="1">
        <v>71.656000000000006</v>
      </c>
      <c r="AT4" s="1">
        <v>71.8</v>
      </c>
      <c r="AU4" s="1">
        <v>71.921000000000006</v>
      </c>
      <c r="AV4" s="1">
        <v>72.025999999999996</v>
      </c>
    </row>
    <row r="5" spans="1:48" x14ac:dyDescent="0.2">
      <c r="A5" s="1" t="s">
        <v>3</v>
      </c>
      <c r="B5" s="1">
        <v>70.079243899999994</v>
      </c>
      <c r="C5" s="1">
        <v>70.093000000000004</v>
      </c>
      <c r="D5" s="1">
        <v>70.092414599999998</v>
      </c>
      <c r="E5" s="1">
        <v>70.082438999999994</v>
      </c>
      <c r="F5" s="1">
        <v>70.068073200000001</v>
      </c>
      <c r="G5" s="1">
        <v>70.048268300000004</v>
      </c>
      <c r="H5" s="1">
        <v>70.015902400000002</v>
      </c>
      <c r="I5" s="1">
        <v>69.967414599999998</v>
      </c>
      <c r="J5" s="1">
        <v>69.906317099999995</v>
      </c>
      <c r="K5" s="1">
        <v>69.841634099999993</v>
      </c>
      <c r="L5" s="1">
        <v>69.802024399999993</v>
      </c>
      <c r="M5" s="1">
        <v>69.819170700000001</v>
      </c>
      <c r="N5" s="1">
        <v>69.908219500000001</v>
      </c>
      <c r="O5" s="1">
        <v>70.064658499999993</v>
      </c>
      <c r="P5" s="1">
        <v>70.271926800000003</v>
      </c>
      <c r="Q5" s="1">
        <v>70.992682900000005</v>
      </c>
      <c r="R5" s="1">
        <v>71.549512199999995</v>
      </c>
      <c r="S5" s="1">
        <v>70.990243899999996</v>
      </c>
      <c r="T5" s="1">
        <v>71.341463399999995</v>
      </c>
      <c r="U5" s="1">
        <v>71.482926800000001</v>
      </c>
      <c r="V5" s="1">
        <v>70.836585400000004</v>
      </c>
      <c r="W5" s="1">
        <v>70.378048800000002</v>
      </c>
      <c r="X5" s="1">
        <v>70.021951200000004</v>
      </c>
      <c r="Y5" s="1">
        <v>68.970731700000002</v>
      </c>
      <c r="Z5" s="1">
        <v>68.768292700000003</v>
      </c>
      <c r="AA5" s="1">
        <v>68.460975599999998</v>
      </c>
      <c r="AB5" s="1">
        <v>68.5121951</v>
      </c>
      <c r="AC5" s="1">
        <v>68.460975599999998</v>
      </c>
      <c r="AD5" s="1">
        <v>68.4073171</v>
      </c>
      <c r="AE5" s="1">
        <v>67.9073171</v>
      </c>
      <c r="AF5" s="1">
        <v>68.912195100000005</v>
      </c>
      <c r="AG5" s="1">
        <v>68.507317099999995</v>
      </c>
      <c r="AH5" s="1">
        <v>68.056097600000001</v>
      </c>
      <c r="AI5" s="1">
        <v>68.553658499999997</v>
      </c>
      <c r="AJ5" s="1">
        <v>68.956097600000007</v>
      </c>
      <c r="AK5" s="1">
        <v>68.851219499999999</v>
      </c>
      <c r="AL5" s="1">
        <v>69.404877999999997</v>
      </c>
      <c r="AM5" s="1">
        <v>70.207317099999997</v>
      </c>
      <c r="AN5" s="1">
        <v>70.456097600000007</v>
      </c>
      <c r="AO5" s="1">
        <v>70.4073171</v>
      </c>
      <c r="AP5" s="1">
        <v>70.404877999999997</v>
      </c>
      <c r="AQ5" s="1">
        <v>70.553658499999997</v>
      </c>
      <c r="AR5" s="1">
        <v>71.965853699999997</v>
      </c>
      <c r="AS5" s="1">
        <v>72.470731700000002</v>
      </c>
      <c r="AT5" s="1">
        <v>72.970731700000002</v>
      </c>
      <c r="AU5" s="1">
        <v>73.624390199999993</v>
      </c>
      <c r="AV5" s="1">
        <v>73.8268293</v>
      </c>
    </row>
    <row r="6" spans="1:48" x14ac:dyDescent="0.2">
      <c r="A6" s="1" t="s">
        <v>36</v>
      </c>
      <c r="B6" s="1">
        <v>66.186999999999998</v>
      </c>
      <c r="C6" s="1">
        <v>66.756</v>
      </c>
      <c r="D6" s="1">
        <v>67.319999999999993</v>
      </c>
      <c r="E6" s="1">
        <v>67.867000000000004</v>
      </c>
      <c r="F6" s="1">
        <v>68.39</v>
      </c>
      <c r="G6" s="1">
        <v>68.872</v>
      </c>
      <c r="H6" s="1">
        <v>69.296000000000006</v>
      </c>
      <c r="I6" s="1">
        <v>69.656999999999996</v>
      </c>
      <c r="J6" s="1">
        <v>69.953999999999994</v>
      </c>
      <c r="K6" s="1">
        <v>70.192999999999998</v>
      </c>
      <c r="L6" s="1">
        <v>70.399000000000001</v>
      </c>
      <c r="M6" s="1">
        <v>70.600999999999999</v>
      </c>
      <c r="N6" s="1">
        <v>70.819999999999993</v>
      </c>
      <c r="O6" s="1">
        <v>71.061000000000007</v>
      </c>
      <c r="P6" s="1">
        <v>71.314999999999998</v>
      </c>
      <c r="Q6" s="1">
        <v>71.534000000000006</v>
      </c>
      <c r="R6" s="1">
        <v>71.650000000000006</v>
      </c>
      <c r="S6" s="1">
        <v>71.626000000000005</v>
      </c>
      <c r="T6" s="1">
        <v>71.460999999999999</v>
      </c>
      <c r="U6" s="1">
        <v>71.185000000000002</v>
      </c>
      <c r="V6" s="1">
        <v>70.876999999999995</v>
      </c>
      <c r="W6" s="1">
        <v>70.644999999999996</v>
      </c>
      <c r="X6" s="1">
        <v>70.576999999999998</v>
      </c>
      <c r="Y6" s="1">
        <v>70.724000000000004</v>
      </c>
      <c r="Z6" s="1">
        <v>71.090999999999994</v>
      </c>
      <c r="AA6" s="1">
        <v>71.643000000000001</v>
      </c>
      <c r="AB6" s="1">
        <v>72.305999999999997</v>
      </c>
      <c r="AC6" s="1">
        <v>72.977000000000004</v>
      </c>
      <c r="AD6" s="1">
        <v>73.572000000000003</v>
      </c>
      <c r="AE6" s="1">
        <v>74.057000000000002</v>
      </c>
      <c r="AF6" s="1">
        <v>74.412999999999997</v>
      </c>
      <c r="AG6" s="1">
        <v>74.653000000000006</v>
      </c>
      <c r="AH6" s="1">
        <v>74.823999999999998</v>
      </c>
      <c r="AI6" s="1">
        <v>74.966999999999999</v>
      </c>
      <c r="AJ6" s="1">
        <v>75.096000000000004</v>
      </c>
      <c r="AK6" s="1">
        <v>75.222999999999999</v>
      </c>
      <c r="AL6" s="1">
        <v>75.352999999999994</v>
      </c>
      <c r="AM6" s="1">
        <v>75.486000000000004</v>
      </c>
      <c r="AN6" s="1">
        <v>75.619</v>
      </c>
      <c r="AO6" s="1">
        <v>75.757999999999996</v>
      </c>
      <c r="AP6" s="1">
        <v>75.905000000000001</v>
      </c>
      <c r="AQ6" s="1">
        <v>76.06</v>
      </c>
      <c r="AR6" s="1">
        <v>76.222999999999999</v>
      </c>
      <c r="AS6" s="1">
        <v>76.39</v>
      </c>
      <c r="AT6" s="1">
        <v>76.561000000000007</v>
      </c>
      <c r="AU6" s="1">
        <v>76.734999999999999</v>
      </c>
      <c r="AV6" s="1">
        <v>76.911000000000001</v>
      </c>
    </row>
    <row r="7" spans="1:48" x14ac:dyDescent="0.2">
      <c r="A7" s="1" t="s">
        <v>22</v>
      </c>
      <c r="B7" s="1">
        <v>71.256341500000005</v>
      </c>
      <c r="C7" s="1">
        <v>70.873658500000005</v>
      </c>
      <c r="D7" s="1">
        <v>70.899512200000004</v>
      </c>
      <c r="E7" s="1">
        <v>71.342195099999998</v>
      </c>
      <c r="F7" s="1">
        <v>71.2080488</v>
      </c>
      <c r="G7" s="1">
        <v>71.049756099999996</v>
      </c>
      <c r="H7" s="1">
        <v>71.394878000000006</v>
      </c>
      <c r="I7" s="1">
        <v>70.816097600000006</v>
      </c>
      <c r="J7" s="1">
        <v>71.184634099999997</v>
      </c>
      <c r="K7" s="1">
        <v>71.308292699999996</v>
      </c>
      <c r="L7" s="1">
        <v>71.157561000000001</v>
      </c>
      <c r="M7" s="1">
        <v>71.571951200000001</v>
      </c>
      <c r="N7" s="1">
        <v>71.186097599999997</v>
      </c>
      <c r="O7" s="1">
        <v>71.3863415</v>
      </c>
      <c r="P7" s="1">
        <v>71.499756099999999</v>
      </c>
      <c r="Q7" s="1">
        <v>71.228048799999996</v>
      </c>
      <c r="R7" s="1">
        <v>71.730731700000007</v>
      </c>
      <c r="S7" s="1">
        <v>71.526829300000003</v>
      </c>
      <c r="T7" s="1">
        <v>71.604390199999997</v>
      </c>
      <c r="U7" s="1">
        <v>71.722438999999994</v>
      </c>
      <c r="V7" s="1">
        <v>71.641463400000006</v>
      </c>
      <c r="W7" s="1">
        <v>71.560975600000006</v>
      </c>
      <c r="X7" s="1">
        <v>71.494390199999998</v>
      </c>
      <c r="Y7" s="1">
        <v>71.346829299999996</v>
      </c>
      <c r="Z7" s="1">
        <v>71.208780500000003</v>
      </c>
      <c r="AA7" s="1">
        <v>71.053414599999996</v>
      </c>
      <c r="AB7" s="1">
        <v>70.897317099999995</v>
      </c>
      <c r="AC7" s="1">
        <v>70.351219499999999</v>
      </c>
      <c r="AD7" s="1">
        <v>71.060975600000006</v>
      </c>
      <c r="AE7" s="1">
        <v>71.412195100000005</v>
      </c>
      <c r="AF7" s="1">
        <v>71.663414599999996</v>
      </c>
      <c r="AG7" s="1">
        <v>71.768292700000003</v>
      </c>
      <c r="AH7" s="1">
        <v>71.865853700000002</v>
      </c>
      <c r="AI7" s="1">
        <v>72.065853700000005</v>
      </c>
      <c r="AJ7" s="1">
        <v>72.563414600000002</v>
      </c>
      <c r="AK7" s="1">
        <v>72.560975600000006</v>
      </c>
      <c r="AL7" s="1">
        <v>72.612195099999994</v>
      </c>
      <c r="AM7" s="1">
        <v>72.663414599999996</v>
      </c>
      <c r="AN7" s="1">
        <v>72.963414599999993</v>
      </c>
      <c r="AO7" s="1">
        <v>73.412195100000005</v>
      </c>
      <c r="AP7" s="1">
        <v>73.5121951</v>
      </c>
      <c r="AQ7" s="1">
        <v>74.163414599999996</v>
      </c>
      <c r="AR7" s="1">
        <v>74.314634100000006</v>
      </c>
      <c r="AS7" s="1">
        <v>74.860975600000003</v>
      </c>
      <c r="AT7" s="1">
        <v>74.465853699999997</v>
      </c>
      <c r="AU7" s="1">
        <v>74.614634100000004</v>
      </c>
      <c r="AV7" s="1">
        <v>74.614634100000004</v>
      </c>
    </row>
    <row r="8" spans="1:48" x14ac:dyDescent="0.2">
      <c r="A8" s="1" t="s">
        <v>12</v>
      </c>
      <c r="B8" s="1">
        <v>68.200487800000005</v>
      </c>
      <c r="C8" s="1">
        <v>68.501634100000004</v>
      </c>
      <c r="D8" s="1">
        <v>68.778731699999994</v>
      </c>
      <c r="E8" s="1">
        <v>69.029243899999997</v>
      </c>
      <c r="F8" s="1">
        <v>69.252707299999997</v>
      </c>
      <c r="G8" s="1">
        <v>70.001951199999993</v>
      </c>
      <c r="H8" s="1">
        <v>70.455365900000004</v>
      </c>
      <c r="I8" s="1">
        <v>70.744390199999998</v>
      </c>
      <c r="J8" s="1">
        <v>70.538780500000001</v>
      </c>
      <c r="K8" s="1">
        <v>70.427317099999996</v>
      </c>
      <c r="L8" s="1">
        <v>70.175365900000003</v>
      </c>
      <c r="M8" s="1">
        <v>70.344390200000007</v>
      </c>
      <c r="N8" s="1">
        <v>70.4826829</v>
      </c>
      <c r="O8" s="1">
        <v>70.274878000000001</v>
      </c>
      <c r="P8" s="1">
        <v>70.218536599999993</v>
      </c>
      <c r="Q8" s="1">
        <v>70.886097599999999</v>
      </c>
      <c r="R8" s="1">
        <v>71.419024399999998</v>
      </c>
      <c r="S8" s="1">
        <v>71.4702439</v>
      </c>
      <c r="T8" s="1">
        <v>71.488292700000002</v>
      </c>
      <c r="U8" s="1">
        <v>71.844634099999993</v>
      </c>
      <c r="V8" s="1">
        <v>72.170487800000004</v>
      </c>
      <c r="W8" s="1">
        <v>72.185365899999994</v>
      </c>
      <c r="X8" s="1">
        <v>71.241463400000001</v>
      </c>
      <c r="Y8" s="1">
        <v>71.522439000000006</v>
      </c>
      <c r="Z8" s="1">
        <v>71.803414599999996</v>
      </c>
      <c r="AA8" s="1">
        <v>72.084390200000001</v>
      </c>
      <c r="AB8" s="1">
        <v>72.3653659</v>
      </c>
      <c r="AC8" s="1">
        <v>72.495121999999995</v>
      </c>
      <c r="AD8" s="1">
        <v>72.317073199999996</v>
      </c>
      <c r="AE8" s="1">
        <v>72.641951199999994</v>
      </c>
      <c r="AF8" s="1">
        <v>72.807804899999994</v>
      </c>
      <c r="AG8" s="1">
        <v>74.512926800000002</v>
      </c>
      <c r="AH8" s="1">
        <v>74.717317100000002</v>
      </c>
      <c r="AI8" s="1">
        <v>74.613902400000001</v>
      </c>
      <c r="AJ8" s="1">
        <v>75.520243899999997</v>
      </c>
      <c r="AK8" s="1">
        <v>75.244634099999999</v>
      </c>
      <c r="AL8" s="1">
        <v>75.836829300000005</v>
      </c>
      <c r="AM8" s="1">
        <v>75.705609800000005</v>
      </c>
      <c r="AN8" s="1">
        <v>75.912195100000005</v>
      </c>
      <c r="AO8" s="1">
        <v>76.168292699999995</v>
      </c>
      <c r="AP8" s="1">
        <v>76.475609800000001</v>
      </c>
      <c r="AQ8" s="1">
        <v>76.775609799999998</v>
      </c>
      <c r="AR8" s="1">
        <v>76.924390200000005</v>
      </c>
      <c r="AS8" s="1">
        <v>77.126829299999997</v>
      </c>
      <c r="AT8" s="1">
        <v>77.478048799999996</v>
      </c>
      <c r="AU8" s="1">
        <v>77.275609799999998</v>
      </c>
      <c r="AV8" s="1">
        <v>78.021951200000004</v>
      </c>
    </row>
    <row r="9" spans="1:48" x14ac:dyDescent="0.2">
      <c r="A9" s="1" t="s">
        <v>37</v>
      </c>
      <c r="B9" s="1">
        <v>69.440243899999999</v>
      </c>
      <c r="C9" s="1">
        <v>69.677073199999995</v>
      </c>
      <c r="D9" s="1">
        <v>70.176585399999993</v>
      </c>
      <c r="E9" s="1">
        <v>70.022682900000007</v>
      </c>
      <c r="F9" s="1">
        <v>70.086585400000004</v>
      </c>
      <c r="G9" s="1">
        <v>70.414634100000001</v>
      </c>
      <c r="H9" s="1">
        <v>70.532682899999998</v>
      </c>
      <c r="I9" s="1">
        <v>70.573414600000007</v>
      </c>
      <c r="J9" s="1">
        <v>70.643902400000002</v>
      </c>
      <c r="K9" s="1">
        <v>70.749512199999998</v>
      </c>
      <c r="L9" s="1">
        <v>70.278048799999993</v>
      </c>
      <c r="M9" s="1">
        <v>70.722195099999993</v>
      </c>
      <c r="N9" s="1">
        <v>70.807804899999994</v>
      </c>
      <c r="O9" s="1">
        <v>70.591463399999995</v>
      </c>
      <c r="P9" s="1">
        <v>70.837560999999994</v>
      </c>
      <c r="Q9" s="1">
        <v>71.046341499999997</v>
      </c>
      <c r="R9" s="1">
        <v>70.997317100000004</v>
      </c>
      <c r="S9" s="1">
        <v>71.4456098</v>
      </c>
      <c r="T9" s="1">
        <v>71.641463400000006</v>
      </c>
      <c r="U9" s="1">
        <v>71.675609800000004</v>
      </c>
      <c r="V9" s="1">
        <v>71.383902399999997</v>
      </c>
      <c r="W9" s="1">
        <v>71.898292699999999</v>
      </c>
      <c r="X9" s="1">
        <v>72.271707300000003</v>
      </c>
      <c r="Y9" s="1">
        <v>72.767804900000002</v>
      </c>
      <c r="Z9" s="1">
        <v>72.972682899999995</v>
      </c>
      <c r="AA9" s="1">
        <v>73.074877999999998</v>
      </c>
      <c r="AB9" s="1">
        <v>73.714634099999998</v>
      </c>
      <c r="AC9" s="1">
        <v>73.824877999999998</v>
      </c>
      <c r="AD9" s="1">
        <v>74.514634099999995</v>
      </c>
      <c r="AE9" s="1">
        <v>74.668292699999995</v>
      </c>
      <c r="AF9" s="1">
        <v>74.968292700000006</v>
      </c>
      <c r="AG9" s="1">
        <v>75.1731707</v>
      </c>
      <c r="AH9" s="1">
        <v>75.221951200000007</v>
      </c>
      <c r="AI9" s="1">
        <v>75.170731700000005</v>
      </c>
      <c r="AJ9" s="1">
        <v>75.721951200000007</v>
      </c>
      <c r="AK9" s="1">
        <v>75.924390200000005</v>
      </c>
      <c r="AL9" s="1">
        <v>76.524390199999999</v>
      </c>
      <c r="AM9" s="1">
        <v>76.724390200000002</v>
      </c>
      <c r="AN9" s="1">
        <v>76.975609800000001</v>
      </c>
      <c r="AO9" s="1">
        <v>77.078048800000005</v>
      </c>
      <c r="AP9" s="1">
        <v>77.424390200000005</v>
      </c>
      <c r="AQ9" s="1">
        <v>77.873170700000003</v>
      </c>
      <c r="AR9" s="1">
        <v>78.075609799999995</v>
      </c>
      <c r="AS9" s="1">
        <v>78.175609800000004</v>
      </c>
      <c r="AT9" s="1">
        <v>78.824390199999996</v>
      </c>
      <c r="AU9" s="1">
        <v>78.578048800000005</v>
      </c>
      <c r="AV9" s="1">
        <v>78.331707300000005</v>
      </c>
    </row>
    <row r="10" spans="1:48" x14ac:dyDescent="0.2">
      <c r="A10" s="1" t="s">
        <v>13</v>
      </c>
      <c r="B10" s="1">
        <v>69.937097600000001</v>
      </c>
      <c r="C10" s="1">
        <v>69.905341500000006</v>
      </c>
      <c r="D10" s="1">
        <v>69.8328293</v>
      </c>
      <c r="E10" s="1">
        <v>69.724585399999995</v>
      </c>
      <c r="F10" s="1">
        <v>69.590219500000003</v>
      </c>
      <c r="G10" s="1">
        <v>69.441317100000006</v>
      </c>
      <c r="H10" s="1">
        <v>69.290024399999993</v>
      </c>
      <c r="I10" s="1">
        <v>69.146951200000004</v>
      </c>
      <c r="J10" s="1">
        <v>69.026268299999998</v>
      </c>
      <c r="K10" s="1">
        <v>68.938585399999994</v>
      </c>
      <c r="L10" s="1">
        <v>68.9056341</v>
      </c>
      <c r="M10" s="1">
        <v>68.978048799999996</v>
      </c>
      <c r="N10" s="1">
        <v>69.126829299999997</v>
      </c>
      <c r="O10" s="1">
        <v>69.375609800000007</v>
      </c>
      <c r="P10" s="1">
        <v>69.278048799999993</v>
      </c>
      <c r="Q10" s="1">
        <v>69.380487799999997</v>
      </c>
      <c r="R10" s="1">
        <v>70.085365899999999</v>
      </c>
      <c r="S10" s="1">
        <v>70.643902400000002</v>
      </c>
      <c r="T10" s="1">
        <v>70.697560999999993</v>
      </c>
      <c r="U10" s="1">
        <v>70.039024400000002</v>
      </c>
      <c r="V10" s="1">
        <v>69.475609800000001</v>
      </c>
      <c r="W10" s="1">
        <v>69.373170700000003</v>
      </c>
      <c r="X10" s="1">
        <v>68.863414599999999</v>
      </c>
      <c r="Y10" s="1">
        <v>67.909756099999996</v>
      </c>
      <c r="Z10" s="1">
        <v>66.5</v>
      </c>
      <c r="AA10" s="1">
        <v>67.543902399999993</v>
      </c>
      <c r="AB10" s="1">
        <v>69.612195099999994</v>
      </c>
      <c r="AC10" s="1">
        <v>69.809756100000001</v>
      </c>
      <c r="AD10" s="1">
        <v>69.358536599999994</v>
      </c>
      <c r="AE10" s="1">
        <v>70.063414600000002</v>
      </c>
      <c r="AF10" s="1">
        <v>70.417073200000004</v>
      </c>
      <c r="AG10" s="1">
        <v>70.258536599999999</v>
      </c>
      <c r="AH10" s="1">
        <v>70.904877999999997</v>
      </c>
      <c r="AI10" s="1">
        <v>71.317073199999996</v>
      </c>
      <c r="AJ10" s="1">
        <v>71.909756099999996</v>
      </c>
      <c r="AK10" s="1">
        <v>72.568292700000001</v>
      </c>
      <c r="AL10" s="1">
        <v>72.691463400000004</v>
      </c>
      <c r="AM10" s="1">
        <v>72.814634100000006</v>
      </c>
      <c r="AN10" s="1">
        <v>73.770731699999999</v>
      </c>
      <c r="AO10" s="1">
        <v>74.824390199999996</v>
      </c>
      <c r="AP10" s="1">
        <v>75.429268300000004</v>
      </c>
      <c r="AQ10" s="1">
        <v>76.229268300000001</v>
      </c>
      <c r="AR10" s="1">
        <v>76.3268293</v>
      </c>
      <c r="AS10" s="1">
        <v>77.141463400000006</v>
      </c>
      <c r="AT10" s="1">
        <v>77.034146300000003</v>
      </c>
      <c r="AU10" s="1">
        <v>77.590243900000004</v>
      </c>
      <c r="AV10" s="1">
        <v>77.736585399999996</v>
      </c>
    </row>
    <row r="11" spans="1:48" x14ac:dyDescent="0.2">
      <c r="A11" s="1" t="s">
        <v>26</v>
      </c>
      <c r="B11" s="1">
        <v>67.451999999999998</v>
      </c>
      <c r="C11" s="1">
        <v>67.766000000000005</v>
      </c>
      <c r="D11" s="1">
        <v>68.081999999999994</v>
      </c>
      <c r="E11" s="1">
        <v>68.400999999999996</v>
      </c>
      <c r="F11" s="1">
        <v>68.718000000000004</v>
      </c>
      <c r="G11" s="1">
        <v>69.013999999999996</v>
      </c>
      <c r="H11" s="1">
        <v>69.266000000000005</v>
      </c>
      <c r="I11" s="1">
        <v>69.460999999999999</v>
      </c>
      <c r="J11" s="1">
        <v>69.591999999999999</v>
      </c>
      <c r="K11" s="1">
        <v>69.665000000000006</v>
      </c>
      <c r="L11" s="1">
        <v>69.7</v>
      </c>
      <c r="M11" s="1">
        <v>69.725999999999999</v>
      </c>
      <c r="N11" s="1">
        <v>69.768000000000001</v>
      </c>
      <c r="O11" s="1">
        <v>69.843999999999994</v>
      </c>
      <c r="P11" s="1">
        <v>69.953999999999994</v>
      </c>
      <c r="Q11" s="1">
        <v>70.082999999999998</v>
      </c>
      <c r="R11" s="1">
        <v>70.203999999999994</v>
      </c>
      <c r="S11" s="1">
        <v>70.287999999999997</v>
      </c>
      <c r="T11" s="1">
        <v>70.322999999999993</v>
      </c>
      <c r="U11" s="1">
        <v>70.311000000000007</v>
      </c>
      <c r="V11" s="1">
        <v>70.268000000000001</v>
      </c>
      <c r="W11" s="1">
        <v>70.22</v>
      </c>
      <c r="X11" s="1">
        <v>70.195999999999998</v>
      </c>
      <c r="Y11" s="1">
        <v>70.221999999999994</v>
      </c>
      <c r="Z11" s="1">
        <v>70.307000000000002</v>
      </c>
      <c r="AA11" s="1">
        <v>70.462000000000003</v>
      </c>
      <c r="AB11" s="1">
        <v>70.686999999999998</v>
      </c>
      <c r="AC11" s="1">
        <v>70.965999999999994</v>
      </c>
      <c r="AD11" s="1">
        <v>71.274000000000001</v>
      </c>
      <c r="AE11" s="1">
        <v>71.596000000000004</v>
      </c>
      <c r="AF11" s="1">
        <v>71.906999999999996</v>
      </c>
      <c r="AG11" s="1">
        <v>72.182000000000002</v>
      </c>
      <c r="AH11" s="1">
        <v>72.408000000000001</v>
      </c>
      <c r="AI11" s="1">
        <v>72.575000000000003</v>
      </c>
      <c r="AJ11" s="1">
        <v>72.682000000000002</v>
      </c>
      <c r="AK11" s="1">
        <v>72.73</v>
      </c>
      <c r="AL11" s="1">
        <v>72.73</v>
      </c>
      <c r="AM11" s="1">
        <v>72.703999999999994</v>
      </c>
      <c r="AN11" s="1">
        <v>72.673000000000002</v>
      </c>
      <c r="AO11" s="1">
        <v>72.650000000000006</v>
      </c>
      <c r="AP11" s="1">
        <v>72.649000000000001</v>
      </c>
      <c r="AQ11" s="1">
        <v>72.680000000000007</v>
      </c>
      <c r="AR11" s="1">
        <v>72.742000000000004</v>
      </c>
      <c r="AS11" s="1">
        <v>72.831999999999994</v>
      </c>
      <c r="AT11" s="1">
        <v>72.950999999999993</v>
      </c>
      <c r="AU11" s="1">
        <v>73.096000000000004</v>
      </c>
      <c r="AV11" s="1">
        <v>73.260999999999996</v>
      </c>
    </row>
    <row r="12" spans="1:48" x14ac:dyDescent="0.2">
      <c r="A12" s="1" t="s">
        <v>9</v>
      </c>
      <c r="B12" s="1">
        <v>69.164634100000001</v>
      </c>
      <c r="C12" s="1">
        <v>69.052439000000007</v>
      </c>
      <c r="D12" s="1">
        <v>69.664634100000001</v>
      </c>
      <c r="E12" s="1">
        <v>69.518048800000003</v>
      </c>
      <c r="F12" s="1">
        <v>69.248048800000007</v>
      </c>
      <c r="G12" s="1">
        <v>69.290000000000006</v>
      </c>
      <c r="H12" s="1">
        <v>69.573170700000006</v>
      </c>
      <c r="I12" s="1">
        <v>69.848048800000001</v>
      </c>
      <c r="J12" s="1">
        <v>69.393902400000002</v>
      </c>
      <c r="K12" s="1">
        <v>69.6153659</v>
      </c>
      <c r="L12" s="1">
        <v>69.061707299999995</v>
      </c>
      <c r="M12" s="1">
        <v>69.139268299999998</v>
      </c>
      <c r="N12" s="1">
        <v>69.357804900000005</v>
      </c>
      <c r="O12" s="1">
        <v>68.973658499999999</v>
      </c>
      <c r="P12" s="1">
        <v>69.025853699999999</v>
      </c>
      <c r="Q12" s="1">
        <v>68.972195099999993</v>
      </c>
      <c r="R12" s="1">
        <v>69.173414600000001</v>
      </c>
      <c r="S12" s="1">
        <v>69.651219499999996</v>
      </c>
      <c r="T12" s="1">
        <v>70.023414599999995</v>
      </c>
      <c r="U12" s="1">
        <v>69.4617073</v>
      </c>
      <c r="V12" s="1">
        <v>69.315609800000004</v>
      </c>
      <c r="W12" s="1">
        <v>69.377073199999998</v>
      </c>
      <c r="X12" s="1">
        <v>69.117073199999993</v>
      </c>
      <c r="Y12" s="1">
        <v>69.101219499999999</v>
      </c>
      <c r="Z12" s="1">
        <v>69.469756099999998</v>
      </c>
      <c r="AA12" s="1">
        <v>69.791707299999999</v>
      </c>
      <c r="AB12" s="1">
        <v>70.328780499999993</v>
      </c>
      <c r="AC12" s="1">
        <v>70.702438999999998</v>
      </c>
      <c r="AD12" s="1">
        <v>70.557804899999994</v>
      </c>
      <c r="AE12" s="1">
        <v>70.677073199999995</v>
      </c>
      <c r="AF12" s="1">
        <v>71.2463415</v>
      </c>
      <c r="AG12" s="1">
        <v>72.248780499999995</v>
      </c>
      <c r="AH12" s="1">
        <v>72.348780500000004</v>
      </c>
      <c r="AI12" s="1">
        <v>72.3</v>
      </c>
      <c r="AJ12" s="1">
        <v>72.648780500000001</v>
      </c>
      <c r="AK12" s="1">
        <v>72.648780500000001</v>
      </c>
      <c r="AL12" s="1">
        <v>73.097560999999999</v>
      </c>
      <c r="AM12" s="1">
        <v>73.151219499999996</v>
      </c>
      <c r="AN12" s="1">
        <v>73.702438999999998</v>
      </c>
      <c r="AO12" s="1">
        <v>73.904877999999997</v>
      </c>
      <c r="AP12" s="1">
        <v>74.207317099999997</v>
      </c>
      <c r="AQ12" s="1">
        <v>74.858536599999994</v>
      </c>
      <c r="AR12" s="1">
        <v>75.063414600000002</v>
      </c>
      <c r="AS12" s="1">
        <v>75.565853700000005</v>
      </c>
      <c r="AT12" s="1">
        <v>75.763414600000004</v>
      </c>
      <c r="AU12" s="1">
        <v>75.568292700000001</v>
      </c>
      <c r="AV12" s="1">
        <v>75.568292700000001</v>
      </c>
    </row>
    <row r="13" spans="1:48" x14ac:dyDescent="0.2">
      <c r="A13" s="1" t="s">
        <v>7</v>
      </c>
      <c r="B13" s="1">
        <v>62.276463399999997</v>
      </c>
      <c r="C13" s="1">
        <v>62.564951200000003</v>
      </c>
      <c r="D13" s="1">
        <v>62.824951200000001</v>
      </c>
      <c r="E13" s="1">
        <v>63.060439000000002</v>
      </c>
      <c r="F13" s="1">
        <v>63.279926799999998</v>
      </c>
      <c r="G13" s="1">
        <v>63.492365900000003</v>
      </c>
      <c r="H13" s="1">
        <v>63.7097561</v>
      </c>
      <c r="I13" s="1">
        <v>63.940585400000003</v>
      </c>
      <c r="J13" s="1">
        <v>64.191902400000004</v>
      </c>
      <c r="K13" s="1">
        <v>64.466731699999997</v>
      </c>
      <c r="L13" s="1">
        <v>66.624390199999993</v>
      </c>
      <c r="M13" s="1">
        <v>66.706097600000007</v>
      </c>
      <c r="N13" s="1">
        <v>66.787804899999998</v>
      </c>
      <c r="O13" s="1">
        <v>67.662195100000005</v>
      </c>
      <c r="P13" s="1">
        <v>68.536585400000007</v>
      </c>
      <c r="Q13" s="1">
        <v>68.536585400000007</v>
      </c>
      <c r="R13" s="1">
        <v>68.913414599999996</v>
      </c>
      <c r="S13" s="1">
        <v>69.290243899999993</v>
      </c>
      <c r="T13" s="1">
        <v>68.848780500000004</v>
      </c>
      <c r="U13" s="1">
        <v>68.290243899999993</v>
      </c>
      <c r="V13" s="1">
        <v>68.336585400000004</v>
      </c>
      <c r="W13" s="1">
        <v>67.982926800000001</v>
      </c>
      <c r="X13" s="1">
        <v>67.731707299999997</v>
      </c>
      <c r="Y13" s="1">
        <v>66.726829300000006</v>
      </c>
      <c r="Z13" s="1">
        <v>65.6731707</v>
      </c>
      <c r="AA13" s="1">
        <v>64.9195122</v>
      </c>
      <c r="AB13" s="1">
        <v>64.109756099999998</v>
      </c>
      <c r="AC13" s="1">
        <v>64.463414599999993</v>
      </c>
      <c r="AD13" s="1">
        <v>64.560975600000006</v>
      </c>
      <c r="AE13" s="1">
        <v>65.519512199999994</v>
      </c>
      <c r="AF13" s="1">
        <v>65.517073199999999</v>
      </c>
      <c r="AG13" s="1">
        <v>65.768292700000003</v>
      </c>
      <c r="AH13" s="1">
        <v>65.968292700000006</v>
      </c>
      <c r="AI13" s="1">
        <v>65.865853700000002</v>
      </c>
      <c r="AJ13" s="1">
        <v>65.887804900000006</v>
      </c>
      <c r="AK13" s="1">
        <v>65.909756099999996</v>
      </c>
      <c r="AL13" s="1">
        <v>66.1609756</v>
      </c>
      <c r="AM13" s="1">
        <v>66.504878000000005</v>
      </c>
      <c r="AN13" s="1">
        <v>67.021951200000004</v>
      </c>
      <c r="AO13" s="1">
        <v>68.429268300000004</v>
      </c>
      <c r="AP13" s="1">
        <v>68.295365899999993</v>
      </c>
      <c r="AQ13" s="1">
        <v>68.98</v>
      </c>
      <c r="AR13" s="1">
        <v>69.61</v>
      </c>
      <c r="AS13" s="1">
        <v>70.45</v>
      </c>
      <c r="AT13" s="1">
        <v>71.62</v>
      </c>
      <c r="AU13" s="1">
        <v>72</v>
      </c>
      <c r="AV13" s="1">
        <v>72.3</v>
      </c>
    </row>
    <row r="14" spans="1:48" x14ac:dyDescent="0.2">
      <c r="A14" s="1" t="s">
        <v>10</v>
      </c>
      <c r="M14" s="1">
        <v>65.897560999999996</v>
      </c>
      <c r="N14" s="1">
        <v>66.197560999999993</v>
      </c>
      <c r="O14" s="1">
        <v>66.397560999999996</v>
      </c>
      <c r="P14" s="1">
        <v>66.597560999999999</v>
      </c>
      <c r="Q14" s="1">
        <v>66.797561000000002</v>
      </c>
      <c r="R14" s="1">
        <v>66.997561000000005</v>
      </c>
      <c r="S14" s="1">
        <v>67.197560999999993</v>
      </c>
      <c r="T14" s="1">
        <v>67.397560999999996</v>
      </c>
      <c r="U14" s="1">
        <v>67.548780500000007</v>
      </c>
      <c r="V14" s="1">
        <v>67.748780499999995</v>
      </c>
      <c r="W14" s="1">
        <v>67.948780499999998</v>
      </c>
      <c r="X14" s="1">
        <v>68.099999999999994</v>
      </c>
      <c r="Y14" s="1">
        <v>68.248780499999995</v>
      </c>
      <c r="Z14" s="1">
        <v>68.400000000000006</v>
      </c>
      <c r="AA14" s="1">
        <v>68.551219500000002</v>
      </c>
      <c r="AB14" s="1">
        <v>68.7</v>
      </c>
      <c r="AC14" s="1">
        <v>68.851219499999999</v>
      </c>
      <c r="AD14" s="1">
        <v>68.951219499999993</v>
      </c>
      <c r="AE14" s="1">
        <v>66.951219499999993</v>
      </c>
      <c r="AF14" s="1">
        <v>67.951219499999993</v>
      </c>
      <c r="AG14" s="1">
        <v>67.997561000000005</v>
      </c>
      <c r="AH14" s="1">
        <v>67.943902399999999</v>
      </c>
      <c r="AI14" s="1">
        <v>68.195121999999998</v>
      </c>
      <c r="AJ14" s="1">
        <v>68.446341500000003</v>
      </c>
      <c r="AK14" s="1">
        <v>68.695121999999998</v>
      </c>
      <c r="AL14" s="1">
        <v>68.946341500000003</v>
      </c>
      <c r="AM14" s="1">
        <v>69.197560999999993</v>
      </c>
      <c r="AN14" s="1">
        <v>69.397560999999996</v>
      </c>
      <c r="AO14" s="1">
        <v>69.648780500000001</v>
      </c>
      <c r="AP14" s="1">
        <v>69.900000000000006</v>
      </c>
      <c r="AQ14" s="1">
        <v>70.148780500000001</v>
      </c>
      <c r="AR14" s="1">
        <v>70.497561000000005</v>
      </c>
      <c r="AS14" s="1">
        <v>70.797561000000002</v>
      </c>
      <c r="AT14" s="1">
        <v>71.097560999999999</v>
      </c>
      <c r="AU14" s="1">
        <v>71.346341499999994</v>
      </c>
      <c r="AV14" s="1">
        <v>71.646341500000005</v>
      </c>
    </row>
    <row r="15" spans="1:48" x14ac:dyDescent="0.2">
      <c r="A15" s="1" t="s">
        <v>14</v>
      </c>
      <c r="B15" s="1">
        <v>60.244902400000001</v>
      </c>
      <c r="C15" s="1">
        <v>60.554414600000001</v>
      </c>
      <c r="D15" s="1">
        <v>60.8354146</v>
      </c>
      <c r="E15" s="1">
        <v>61.0929024</v>
      </c>
      <c r="F15" s="1">
        <v>61.332902400000002</v>
      </c>
      <c r="G15" s="1">
        <v>61.5648537</v>
      </c>
      <c r="H15" s="1">
        <v>61.797243899999998</v>
      </c>
      <c r="I15" s="1">
        <v>62.040073200000002</v>
      </c>
      <c r="J15" s="1">
        <v>62.300902399999998</v>
      </c>
      <c r="K15" s="1">
        <v>62.585756099999998</v>
      </c>
      <c r="L15" s="1">
        <v>62.903780500000003</v>
      </c>
      <c r="M15" s="1">
        <v>63.263634099999997</v>
      </c>
      <c r="N15" s="1">
        <v>63.658878000000001</v>
      </c>
      <c r="O15" s="1">
        <v>64.077512200000001</v>
      </c>
      <c r="P15" s="1">
        <v>64.504926800000007</v>
      </c>
      <c r="Q15" s="1">
        <v>64.918951199999995</v>
      </c>
      <c r="R15" s="1">
        <v>65.293780499999997</v>
      </c>
      <c r="S15" s="1">
        <v>65.611195100000003</v>
      </c>
      <c r="T15" s="1">
        <v>65.858585399999996</v>
      </c>
      <c r="U15" s="1">
        <v>67.9073171</v>
      </c>
      <c r="V15" s="1">
        <v>68.297561000000002</v>
      </c>
      <c r="W15" s="1">
        <v>68.551219500000002</v>
      </c>
      <c r="X15" s="1">
        <v>68.102439000000004</v>
      </c>
      <c r="Y15" s="1">
        <v>67.192682899999994</v>
      </c>
      <c r="Z15" s="1">
        <v>66.039024400000002</v>
      </c>
      <c r="AA15" s="1">
        <v>65.790243899999993</v>
      </c>
      <c r="AB15" s="1">
        <v>66.543902399999993</v>
      </c>
      <c r="AC15" s="1">
        <v>66.892682899999997</v>
      </c>
      <c r="AD15" s="1">
        <v>67.051219500000002</v>
      </c>
      <c r="AE15" s="1">
        <v>68.656097599999995</v>
      </c>
      <c r="AF15" s="1">
        <v>68.558536599999996</v>
      </c>
      <c r="AG15" s="1">
        <v>68.707317099999997</v>
      </c>
      <c r="AH15" s="1">
        <v>68.156097599999995</v>
      </c>
      <c r="AI15" s="1">
        <v>68.256097600000004</v>
      </c>
      <c r="AJ15" s="1">
        <v>68.153658500000006</v>
      </c>
      <c r="AK15" s="1">
        <v>67.956097600000007</v>
      </c>
      <c r="AL15" s="1">
        <v>67.695121999999998</v>
      </c>
      <c r="AM15" s="1">
        <v>67.895122000000001</v>
      </c>
      <c r="AN15" s="1">
        <v>68.451219499999993</v>
      </c>
      <c r="AO15" s="1">
        <v>69.102439000000004</v>
      </c>
      <c r="AP15" s="1">
        <v>69.3</v>
      </c>
      <c r="AQ15" s="1">
        <v>69.602439000000004</v>
      </c>
      <c r="AR15" s="1">
        <v>70.002438999999995</v>
      </c>
      <c r="AS15" s="1">
        <v>70.202438999999998</v>
      </c>
      <c r="AT15" s="1">
        <v>70.402439000000001</v>
      </c>
      <c r="AU15" s="1">
        <v>70.651219499999996</v>
      </c>
      <c r="AV15" s="1">
        <v>70.951219499999993</v>
      </c>
    </row>
    <row r="16" spans="1:48" x14ac:dyDescent="0.2">
      <c r="A16" s="1" t="s">
        <v>20</v>
      </c>
      <c r="B16" s="1">
        <v>69.835365899999999</v>
      </c>
      <c r="C16" s="1">
        <v>70.164634100000001</v>
      </c>
      <c r="D16" s="1">
        <v>69.878780500000005</v>
      </c>
      <c r="E16" s="1">
        <v>69.813414600000002</v>
      </c>
      <c r="F16" s="1">
        <v>69.740975599999999</v>
      </c>
      <c r="G16" s="1">
        <v>68.925365900000003</v>
      </c>
      <c r="H16" s="1">
        <v>69.047804900000003</v>
      </c>
      <c r="I16" s="1">
        <v>69.104634099999998</v>
      </c>
      <c r="J16" s="1">
        <v>68.9878049</v>
      </c>
      <c r="K16" s="1">
        <v>68.495609799999997</v>
      </c>
      <c r="L16" s="1">
        <v>68.808536599999996</v>
      </c>
      <c r="M16" s="1">
        <v>68.786341500000006</v>
      </c>
      <c r="N16" s="1">
        <v>69.328292700000006</v>
      </c>
      <c r="O16" s="1">
        <v>69.119024400000001</v>
      </c>
      <c r="P16" s="1">
        <v>69.162926799999994</v>
      </c>
      <c r="Q16" s="1">
        <v>69.291463399999998</v>
      </c>
      <c r="R16" s="1">
        <v>70.622439</v>
      </c>
      <c r="S16" s="1">
        <v>70.692926799999995</v>
      </c>
      <c r="T16" s="1">
        <v>70.6153659</v>
      </c>
      <c r="U16" s="1">
        <v>70.155365900000007</v>
      </c>
      <c r="V16" s="1">
        <v>69.273170699999994</v>
      </c>
      <c r="W16" s="1">
        <v>69.032438999999997</v>
      </c>
      <c r="X16" s="1">
        <v>68.396097600000004</v>
      </c>
      <c r="Y16" s="1">
        <v>66.722682899999995</v>
      </c>
      <c r="Z16" s="1">
        <v>65.6643902</v>
      </c>
      <c r="AA16" s="1">
        <v>66.391219500000005</v>
      </c>
      <c r="AB16" s="1">
        <v>68.776585400000002</v>
      </c>
      <c r="AC16" s="1">
        <v>69.349268300000006</v>
      </c>
      <c r="AD16" s="1">
        <v>69.0121951</v>
      </c>
      <c r="AE16" s="1">
        <v>69.742926800000006</v>
      </c>
      <c r="AF16" s="1">
        <v>70.314634100000006</v>
      </c>
      <c r="AG16" s="1">
        <v>70.760975599999995</v>
      </c>
      <c r="AH16" s="1">
        <v>70.960975599999998</v>
      </c>
      <c r="AI16" s="1">
        <v>71.265853699999994</v>
      </c>
      <c r="AJ16" s="1">
        <v>72.026829300000003</v>
      </c>
      <c r="AK16" s="1">
        <v>71.356097599999998</v>
      </c>
      <c r="AL16" s="1">
        <v>70.865853700000002</v>
      </c>
      <c r="AM16" s="1">
        <v>71.019512199999994</v>
      </c>
      <c r="AN16" s="1">
        <v>72.4195122</v>
      </c>
      <c r="AO16" s="1">
        <v>73.0804878</v>
      </c>
      <c r="AP16" s="1">
        <v>73.482926800000001</v>
      </c>
      <c r="AQ16" s="1">
        <v>73.575609799999995</v>
      </c>
      <c r="AR16" s="1">
        <v>73.778048799999993</v>
      </c>
      <c r="AS16" s="1">
        <v>73.982926800000001</v>
      </c>
      <c r="AT16" s="1">
        <v>74.124390199999993</v>
      </c>
      <c r="AU16" s="1">
        <v>74.480487800000006</v>
      </c>
      <c r="AV16" s="1">
        <v>74.529268299999998</v>
      </c>
    </row>
    <row r="17" spans="1:48" x14ac:dyDescent="0.2">
      <c r="A17" s="1" t="s">
        <v>21</v>
      </c>
      <c r="B17" s="1">
        <v>70.8043902</v>
      </c>
      <c r="C17" s="1">
        <v>71.735365900000005</v>
      </c>
      <c r="D17" s="1">
        <v>71.0246341</v>
      </c>
      <c r="E17" s="1">
        <v>71.332195100000007</v>
      </c>
      <c r="F17" s="1">
        <v>71.244146299999997</v>
      </c>
      <c r="G17" s="1">
        <v>70.867317099999994</v>
      </c>
      <c r="H17" s="1">
        <v>70.9580488</v>
      </c>
      <c r="I17" s="1">
        <v>70.8095122</v>
      </c>
      <c r="J17" s="1">
        <v>70.604634099999998</v>
      </c>
      <c r="K17" s="1">
        <v>70.482195099999998</v>
      </c>
      <c r="L17" s="1">
        <v>70.482195099999998</v>
      </c>
      <c r="M17" s="1">
        <v>70.460731699999997</v>
      </c>
      <c r="N17" s="1">
        <v>70.836829300000005</v>
      </c>
      <c r="O17" s="1">
        <v>70.777804900000007</v>
      </c>
      <c r="P17" s="1">
        <v>70.319999999999993</v>
      </c>
      <c r="Q17" s="1">
        <v>70.501219500000005</v>
      </c>
      <c r="R17" s="1">
        <v>72.080731700000001</v>
      </c>
      <c r="S17" s="1">
        <v>71.934634099999997</v>
      </c>
      <c r="T17" s="1">
        <v>71.7621951</v>
      </c>
      <c r="U17" s="1">
        <v>71.425365900000003</v>
      </c>
      <c r="V17" s="1">
        <v>71.160731699999999</v>
      </c>
      <c r="W17" s="1">
        <v>70.364146300000002</v>
      </c>
      <c r="X17" s="1">
        <v>70.234390200000007</v>
      </c>
      <c r="Y17" s="1">
        <v>68.910487799999999</v>
      </c>
      <c r="Z17" s="1">
        <v>68.530243900000002</v>
      </c>
      <c r="AA17" s="1">
        <v>69.006341500000005</v>
      </c>
      <c r="AB17" s="1">
        <v>70.108048800000006</v>
      </c>
      <c r="AC17" s="1">
        <v>70.909024400000007</v>
      </c>
      <c r="AD17" s="1">
        <v>71.219512199999997</v>
      </c>
      <c r="AE17" s="1">
        <v>71.570731699999996</v>
      </c>
      <c r="AF17" s="1">
        <v>72.019512199999994</v>
      </c>
      <c r="AG17" s="1">
        <v>71.658536600000005</v>
      </c>
      <c r="AH17" s="1">
        <v>71.760975599999995</v>
      </c>
      <c r="AI17" s="1">
        <v>72.060975600000006</v>
      </c>
      <c r="AJ17" s="1">
        <v>71.960975599999998</v>
      </c>
      <c r="AK17" s="1">
        <v>71.2536585</v>
      </c>
      <c r="AL17" s="1">
        <v>71.056097600000001</v>
      </c>
      <c r="AM17" s="1">
        <v>70.900000000000006</v>
      </c>
      <c r="AN17" s="1">
        <v>71.812195099999997</v>
      </c>
      <c r="AO17" s="1">
        <v>72.914634100000001</v>
      </c>
      <c r="AP17" s="1">
        <v>73.268292700000003</v>
      </c>
      <c r="AQ17" s="1">
        <v>73.563414600000002</v>
      </c>
      <c r="AR17" s="1">
        <v>73.863414599999999</v>
      </c>
      <c r="AS17" s="1">
        <v>73.914634100000001</v>
      </c>
      <c r="AT17" s="1">
        <v>74.517073199999999</v>
      </c>
      <c r="AU17" s="1">
        <v>74.321951200000001</v>
      </c>
      <c r="AV17" s="1">
        <v>74.321951200000001</v>
      </c>
    </row>
    <row r="18" spans="1:48" x14ac:dyDescent="0.2">
      <c r="A18" s="1" t="s">
        <v>15</v>
      </c>
      <c r="B18" s="1">
        <v>66.301000000000002</v>
      </c>
      <c r="C18" s="1">
        <v>66.736000000000004</v>
      </c>
      <c r="D18" s="1">
        <v>67.128</v>
      </c>
      <c r="E18" s="1">
        <v>67.474000000000004</v>
      </c>
      <c r="F18" s="1">
        <v>67.772999999999996</v>
      </c>
      <c r="G18" s="1">
        <v>68.02</v>
      </c>
      <c r="H18" s="1">
        <v>68.212000000000003</v>
      </c>
      <c r="I18" s="1">
        <v>68.355000000000004</v>
      </c>
      <c r="J18" s="1">
        <v>68.462000000000003</v>
      </c>
      <c r="K18" s="1">
        <v>68.549000000000007</v>
      </c>
      <c r="L18" s="1">
        <v>68.64</v>
      </c>
      <c r="M18" s="1">
        <v>68.763999999999996</v>
      </c>
      <c r="N18" s="1">
        <v>68.936000000000007</v>
      </c>
      <c r="O18" s="1">
        <v>69.162000000000006</v>
      </c>
      <c r="P18" s="1">
        <v>69.441999999999993</v>
      </c>
      <c r="Q18" s="1">
        <v>69.760000000000005</v>
      </c>
      <c r="R18" s="1">
        <v>70.093999999999994</v>
      </c>
      <c r="S18" s="1">
        <v>70.414000000000001</v>
      </c>
      <c r="T18" s="1">
        <v>70.7</v>
      </c>
      <c r="U18" s="1">
        <v>70.944999999999993</v>
      </c>
      <c r="V18" s="1">
        <v>71.152000000000001</v>
      </c>
      <c r="W18" s="1">
        <v>71.331000000000003</v>
      </c>
      <c r="X18" s="1">
        <v>71.501999999999995</v>
      </c>
      <c r="Y18" s="1">
        <v>71.680000000000007</v>
      </c>
      <c r="Z18" s="1">
        <v>71.870999999999995</v>
      </c>
      <c r="AA18" s="1">
        <v>72.08</v>
      </c>
      <c r="AB18" s="1">
        <v>72.308999999999997</v>
      </c>
      <c r="AC18" s="1">
        <v>72.55</v>
      </c>
      <c r="AD18" s="1">
        <v>72.795000000000002</v>
      </c>
      <c r="AE18" s="1">
        <v>73.037999999999997</v>
      </c>
      <c r="AF18" s="1">
        <v>73.266999999999996</v>
      </c>
      <c r="AG18" s="1">
        <v>73.47</v>
      </c>
      <c r="AH18" s="1">
        <v>73.641999999999996</v>
      </c>
      <c r="AI18" s="1">
        <v>73.781999999999996</v>
      </c>
      <c r="AJ18" s="1">
        <v>73.893000000000001</v>
      </c>
      <c r="AK18" s="1">
        <v>73.986000000000004</v>
      </c>
      <c r="AL18" s="1">
        <v>74.076999999999998</v>
      </c>
      <c r="AM18" s="1">
        <v>74.180000000000007</v>
      </c>
      <c r="AN18" s="1">
        <v>74.305000000000007</v>
      </c>
      <c r="AO18" s="1">
        <v>74.456999999999994</v>
      </c>
      <c r="AP18" s="1">
        <v>74.632000000000005</v>
      </c>
      <c r="AQ18" s="1">
        <v>74.823999999999998</v>
      </c>
      <c r="AR18" s="1">
        <v>75.019000000000005</v>
      </c>
      <c r="AS18" s="1">
        <v>75.206999999999994</v>
      </c>
      <c r="AT18" s="1">
        <v>75.384</v>
      </c>
      <c r="AU18" s="1">
        <v>75.549000000000007</v>
      </c>
      <c r="AV18" s="1">
        <v>75.703000000000003</v>
      </c>
    </row>
    <row r="19" spans="1:48" x14ac:dyDescent="0.2">
      <c r="A19" s="1" t="s">
        <v>16</v>
      </c>
      <c r="B19" s="1">
        <v>65.045000000000002</v>
      </c>
      <c r="C19" s="1">
        <v>65.134</v>
      </c>
      <c r="D19" s="1">
        <v>65.186000000000007</v>
      </c>
      <c r="E19" s="1">
        <v>65.212999999999994</v>
      </c>
      <c r="F19" s="1">
        <v>65.221000000000004</v>
      </c>
      <c r="G19" s="1">
        <v>65.209000000000003</v>
      </c>
      <c r="H19" s="1">
        <v>65.171999999999997</v>
      </c>
      <c r="I19" s="1">
        <v>65.111000000000004</v>
      </c>
      <c r="J19" s="1">
        <v>65.037000000000006</v>
      </c>
      <c r="K19" s="1">
        <v>64.971000000000004</v>
      </c>
      <c r="L19" s="1">
        <v>64.950999999999993</v>
      </c>
      <c r="M19" s="1">
        <v>65.022000000000006</v>
      </c>
      <c r="N19" s="1">
        <v>65.204999999999998</v>
      </c>
      <c r="O19" s="1">
        <v>65.498999999999995</v>
      </c>
      <c r="P19" s="1">
        <v>65.887</v>
      </c>
      <c r="Q19" s="1">
        <v>66.33</v>
      </c>
      <c r="R19" s="1">
        <v>66.772000000000006</v>
      </c>
      <c r="S19" s="1">
        <v>67.156000000000006</v>
      </c>
      <c r="T19" s="1">
        <v>67.44</v>
      </c>
      <c r="U19" s="1">
        <v>67.605000000000004</v>
      </c>
      <c r="V19" s="1">
        <v>67.643000000000001</v>
      </c>
      <c r="W19" s="1">
        <v>67.563000000000002</v>
      </c>
      <c r="X19" s="1">
        <v>67.408000000000001</v>
      </c>
      <c r="Y19" s="1">
        <v>67.221000000000004</v>
      </c>
      <c r="Z19" s="1">
        <v>67.03</v>
      </c>
      <c r="AA19" s="1">
        <v>66.867000000000004</v>
      </c>
      <c r="AB19" s="1">
        <v>66.760999999999996</v>
      </c>
      <c r="AC19" s="1">
        <v>66.721999999999994</v>
      </c>
      <c r="AD19" s="1">
        <v>66.751999999999995</v>
      </c>
      <c r="AE19" s="1">
        <v>66.852000000000004</v>
      </c>
      <c r="AF19" s="1">
        <v>67.006</v>
      </c>
      <c r="AG19" s="1">
        <v>67.185000000000002</v>
      </c>
      <c r="AH19" s="1">
        <v>67.361999999999995</v>
      </c>
      <c r="AI19" s="1">
        <v>67.521000000000001</v>
      </c>
      <c r="AJ19" s="1">
        <v>67.665000000000006</v>
      </c>
      <c r="AK19" s="1">
        <v>67.819999999999993</v>
      </c>
      <c r="AL19" s="1">
        <v>68.022000000000006</v>
      </c>
      <c r="AM19" s="1">
        <v>68.302000000000007</v>
      </c>
      <c r="AN19" s="1">
        <v>68.671000000000006</v>
      </c>
      <c r="AO19" s="1">
        <v>69.119</v>
      </c>
      <c r="AP19" s="1">
        <v>69.616</v>
      </c>
      <c r="AQ19" s="1">
        <v>70.117000000000004</v>
      </c>
      <c r="AR19" s="1">
        <v>70.576999999999998</v>
      </c>
      <c r="AS19" s="1">
        <v>70.960999999999999</v>
      </c>
      <c r="AT19" s="1">
        <v>71.257999999999996</v>
      </c>
      <c r="AU19" s="1">
        <v>71.468000000000004</v>
      </c>
      <c r="AV19" s="1">
        <v>71.61</v>
      </c>
    </row>
    <row r="20" spans="1:48" x14ac:dyDescent="0.2">
      <c r="A20" s="1" t="s">
        <v>24</v>
      </c>
      <c r="B20" s="1">
        <v>69.929000000000002</v>
      </c>
      <c r="C20" s="1">
        <v>70.475999999999999</v>
      </c>
      <c r="D20" s="1">
        <v>70.968000000000004</v>
      </c>
      <c r="E20" s="1">
        <v>71.391999999999996</v>
      </c>
      <c r="F20" s="1">
        <v>71.748000000000005</v>
      </c>
      <c r="G20" s="1">
        <v>72.040999999999997</v>
      </c>
      <c r="H20" s="1">
        <v>72.286000000000001</v>
      </c>
      <c r="I20" s="1">
        <v>72.504000000000005</v>
      </c>
      <c r="J20" s="1">
        <v>72.713999999999999</v>
      </c>
      <c r="K20" s="1">
        <v>72.921999999999997</v>
      </c>
      <c r="L20" s="1">
        <v>73.13</v>
      </c>
      <c r="M20" s="1">
        <v>73.334000000000003</v>
      </c>
      <c r="N20" s="1">
        <v>73.524000000000001</v>
      </c>
      <c r="O20" s="1">
        <v>73.692999999999998</v>
      </c>
      <c r="P20" s="1">
        <v>73.843000000000004</v>
      </c>
      <c r="Q20" s="1">
        <v>73.980999999999995</v>
      </c>
      <c r="R20" s="1">
        <v>74.116</v>
      </c>
      <c r="S20" s="1">
        <v>74.254999999999995</v>
      </c>
      <c r="T20" s="1">
        <v>74.394000000000005</v>
      </c>
      <c r="U20" s="1">
        <v>74.525999999999996</v>
      </c>
      <c r="V20" s="1">
        <v>74.626999999999995</v>
      </c>
      <c r="W20" s="1">
        <v>74.668999999999997</v>
      </c>
      <c r="X20" s="1">
        <v>74.634</v>
      </c>
      <c r="Y20" s="1">
        <v>74.52</v>
      </c>
      <c r="Z20" s="1">
        <v>74.334000000000003</v>
      </c>
      <c r="AA20" s="1">
        <v>74.099999999999994</v>
      </c>
      <c r="AB20" s="1">
        <v>73.846000000000004</v>
      </c>
      <c r="AC20" s="1">
        <v>73.608000000000004</v>
      </c>
      <c r="AD20" s="1">
        <v>73.417000000000002</v>
      </c>
      <c r="AE20" s="1">
        <v>73.287999999999997</v>
      </c>
      <c r="AF20" s="1">
        <v>73.227999999999994</v>
      </c>
      <c r="AG20" s="1">
        <v>73.23</v>
      </c>
      <c r="AH20" s="1">
        <v>73.277000000000001</v>
      </c>
      <c r="AI20" s="1">
        <v>73.355000000000004</v>
      </c>
      <c r="AJ20" s="1">
        <v>73.465000000000003</v>
      </c>
      <c r="AK20" s="1">
        <v>73.62</v>
      </c>
      <c r="AL20" s="1">
        <v>73.834000000000003</v>
      </c>
      <c r="AM20" s="1">
        <v>74.116</v>
      </c>
      <c r="AN20" s="1">
        <v>74.462000000000003</v>
      </c>
      <c r="AO20" s="1">
        <v>74.858000000000004</v>
      </c>
      <c r="AP20" s="1">
        <v>75.28</v>
      </c>
      <c r="AQ20" s="1">
        <v>75.7</v>
      </c>
      <c r="AR20" s="1">
        <v>76.088999999999999</v>
      </c>
      <c r="AS20" s="1">
        <v>76.430000000000007</v>
      </c>
      <c r="AT20" s="1">
        <v>76.712000000000003</v>
      </c>
      <c r="AU20" s="1">
        <v>76.938000000000002</v>
      </c>
      <c r="AV20" s="1">
        <v>77.116</v>
      </c>
    </row>
    <row r="21" spans="1:48" x14ac:dyDescent="0.2">
      <c r="A21" s="1" t="s">
        <v>11</v>
      </c>
      <c r="B21" s="1">
        <v>69.868292699999998</v>
      </c>
      <c r="C21" s="1">
        <v>69.612195099999994</v>
      </c>
      <c r="D21" s="1">
        <v>70.6658537</v>
      </c>
      <c r="E21" s="1">
        <v>70.663414599999996</v>
      </c>
      <c r="F21" s="1">
        <v>71.117073199999993</v>
      </c>
      <c r="G21" s="1">
        <v>70.560975600000006</v>
      </c>
      <c r="H21" s="1">
        <v>70.656097599999995</v>
      </c>
      <c r="I21" s="1">
        <v>70.402439000000001</v>
      </c>
      <c r="J21" s="1">
        <v>70.351219499999999</v>
      </c>
      <c r="K21" s="1">
        <v>70.751219500000005</v>
      </c>
      <c r="L21" s="1">
        <v>70.097560999999999</v>
      </c>
      <c r="M21" s="1">
        <v>71.051219500000002</v>
      </c>
      <c r="N21" s="1">
        <v>71.102439000000004</v>
      </c>
      <c r="O21" s="1">
        <v>71</v>
      </c>
      <c r="P21" s="1">
        <v>70.8</v>
      </c>
      <c r="Q21" s="1">
        <v>70.548780500000007</v>
      </c>
      <c r="R21" s="1">
        <v>70.848780500000004</v>
      </c>
      <c r="S21" s="1">
        <v>70.897560999999996</v>
      </c>
      <c r="T21" s="1">
        <v>71.331707300000005</v>
      </c>
      <c r="U21" s="1">
        <v>71.043902399999993</v>
      </c>
      <c r="V21" s="1">
        <v>70.890243900000002</v>
      </c>
      <c r="W21" s="1">
        <v>70.587804899999995</v>
      </c>
      <c r="X21" s="1">
        <v>71.090243900000004</v>
      </c>
      <c r="Y21" s="1">
        <v>71.595122000000003</v>
      </c>
      <c r="Z21" s="1">
        <v>71.695121999999998</v>
      </c>
      <c r="AA21" s="1">
        <v>71.892682899999997</v>
      </c>
      <c r="AB21" s="1">
        <v>72.2463415</v>
      </c>
      <c r="AC21" s="1">
        <v>72.646341500000005</v>
      </c>
      <c r="AD21" s="1">
        <v>72.997561000000005</v>
      </c>
      <c r="AE21" s="1">
        <v>73.043902399999993</v>
      </c>
      <c r="AF21" s="1">
        <v>73.748780499999995</v>
      </c>
      <c r="AG21" s="1">
        <v>74.2</v>
      </c>
      <c r="AH21" s="1">
        <v>74.497561000000005</v>
      </c>
      <c r="AI21" s="1">
        <v>74.597560999999999</v>
      </c>
      <c r="AJ21" s="1">
        <v>74.846341499999994</v>
      </c>
      <c r="AK21" s="1">
        <v>74.995121999999995</v>
      </c>
      <c r="AL21" s="1">
        <v>75.143902400000002</v>
      </c>
      <c r="AM21" s="1">
        <v>75.243902399999996</v>
      </c>
      <c r="AN21" s="1">
        <v>75.543902399999993</v>
      </c>
      <c r="AO21" s="1">
        <v>75.695121999999998</v>
      </c>
      <c r="AP21" s="1">
        <v>76.2463415</v>
      </c>
      <c r="AQ21" s="1">
        <v>76.695121999999998</v>
      </c>
      <c r="AR21" s="1">
        <v>76.7463415</v>
      </c>
      <c r="AS21" s="1">
        <v>77</v>
      </c>
      <c r="AT21" s="1">
        <v>77.602439000000004</v>
      </c>
      <c r="AU21" s="1">
        <v>77.451219499999993</v>
      </c>
      <c r="AV21" s="1">
        <v>77.451219499999993</v>
      </c>
    </row>
    <row r="22" spans="1:48" x14ac:dyDescent="0.2">
      <c r="A22" s="1" t="s">
        <v>17</v>
      </c>
      <c r="B22" s="1">
        <v>68.056414599999997</v>
      </c>
      <c r="C22" s="1">
        <v>68.504146300000002</v>
      </c>
      <c r="D22" s="1">
        <v>68.4702439</v>
      </c>
      <c r="E22" s="1">
        <v>69.005609800000002</v>
      </c>
      <c r="F22" s="1">
        <v>69.499756099999999</v>
      </c>
      <c r="G22" s="1">
        <v>69.613902400000001</v>
      </c>
      <c r="H22" s="1">
        <v>69.698780499999998</v>
      </c>
      <c r="I22" s="1">
        <v>69.741951200000003</v>
      </c>
      <c r="J22" s="1">
        <v>69.480487800000006</v>
      </c>
      <c r="K22" s="1">
        <v>69.153170700000004</v>
      </c>
      <c r="L22" s="1">
        <v>69.090975599999993</v>
      </c>
      <c r="M22" s="1">
        <v>69.368292699999998</v>
      </c>
      <c r="N22" s="1">
        <v>69.531707299999994</v>
      </c>
      <c r="O22" s="1">
        <v>69.726341500000004</v>
      </c>
      <c r="P22" s="1">
        <v>69.658780500000006</v>
      </c>
      <c r="Q22" s="1">
        <v>69.706829299999995</v>
      </c>
      <c r="R22" s="1">
        <v>69.4963415</v>
      </c>
      <c r="S22" s="1">
        <v>69.226829300000006</v>
      </c>
      <c r="T22" s="1">
        <v>69.388048800000007</v>
      </c>
      <c r="U22" s="1">
        <v>69.530731700000004</v>
      </c>
      <c r="V22" s="1">
        <v>69.7412195</v>
      </c>
      <c r="W22" s="1">
        <v>69.784390200000004</v>
      </c>
      <c r="X22" s="1">
        <v>69.784390200000004</v>
      </c>
      <c r="Y22" s="1">
        <v>69.563414600000002</v>
      </c>
      <c r="Z22" s="1">
        <v>69.509756100000004</v>
      </c>
      <c r="AA22" s="1">
        <v>69.456097600000007</v>
      </c>
      <c r="AB22" s="1">
        <v>69.104877999999999</v>
      </c>
      <c r="AC22" s="1">
        <v>69.004878000000005</v>
      </c>
      <c r="AD22" s="1">
        <v>69.807317100000006</v>
      </c>
      <c r="AE22" s="1">
        <v>70.5121951</v>
      </c>
      <c r="AF22" s="1">
        <v>71.163414599999996</v>
      </c>
      <c r="AG22" s="1">
        <v>71.1609756</v>
      </c>
      <c r="AH22" s="1">
        <v>71.009756100000004</v>
      </c>
      <c r="AI22" s="1">
        <v>71.309756100000001</v>
      </c>
      <c r="AJ22" s="1">
        <v>71.594275600000003</v>
      </c>
      <c r="AK22" s="1">
        <v>71.878895099999994</v>
      </c>
      <c r="AL22" s="1">
        <v>72.163414599999996</v>
      </c>
      <c r="AM22" s="1">
        <v>72.565853700000005</v>
      </c>
      <c r="AN22" s="1">
        <v>72.565853700000005</v>
      </c>
      <c r="AO22" s="1">
        <v>73.309756100000001</v>
      </c>
      <c r="AP22" s="1">
        <v>73.458536600000002</v>
      </c>
      <c r="AQ22" s="1">
        <v>74.409756099999996</v>
      </c>
      <c r="AR22" s="1">
        <v>74.412195100000005</v>
      </c>
      <c r="AS22" s="1">
        <v>75.063414600000002</v>
      </c>
      <c r="AT22" s="1">
        <v>74.960975599999998</v>
      </c>
      <c r="AU22" s="1">
        <v>75.0121951</v>
      </c>
      <c r="AV22" s="1">
        <v>75.0121951</v>
      </c>
    </row>
    <row r="23" spans="1:48" x14ac:dyDescent="0.2">
      <c r="A23" s="1" t="s">
        <v>38</v>
      </c>
      <c r="B23" s="1">
        <v>68.133658499999996</v>
      </c>
      <c r="C23" s="1">
        <v>68.376585399999996</v>
      </c>
      <c r="D23" s="1">
        <v>68.308536599999996</v>
      </c>
      <c r="E23" s="1">
        <v>68.294634099999996</v>
      </c>
      <c r="F23" s="1">
        <v>68.320243899999994</v>
      </c>
      <c r="G23" s="1">
        <v>67.7239024</v>
      </c>
      <c r="H23" s="1">
        <v>67.487560999999999</v>
      </c>
      <c r="I23" s="1">
        <v>67.376341499999995</v>
      </c>
      <c r="J23" s="1">
        <v>67.390975600000004</v>
      </c>
      <c r="K23" s="1">
        <v>67.114390200000003</v>
      </c>
      <c r="L23" s="1">
        <v>67.033902400000002</v>
      </c>
      <c r="M23" s="1">
        <v>67.263902400000006</v>
      </c>
      <c r="N23" s="1">
        <v>67.806097600000001</v>
      </c>
      <c r="O23" s="1">
        <v>67.652682900000002</v>
      </c>
      <c r="P23" s="1">
        <v>67.202682899999999</v>
      </c>
      <c r="Q23" s="1">
        <v>67.856829300000001</v>
      </c>
      <c r="R23" s="1">
        <v>69.3897561</v>
      </c>
      <c r="S23" s="1">
        <v>69.44</v>
      </c>
      <c r="T23" s="1">
        <v>69.464390199999997</v>
      </c>
      <c r="U23" s="1">
        <v>69.171707299999994</v>
      </c>
      <c r="V23" s="1">
        <v>68.886097599999999</v>
      </c>
      <c r="W23" s="1">
        <v>68.474390200000002</v>
      </c>
      <c r="X23" s="1">
        <v>66.873170700000003</v>
      </c>
      <c r="Y23" s="1">
        <v>64.935853699999996</v>
      </c>
      <c r="Z23" s="1">
        <v>64.467073200000002</v>
      </c>
      <c r="AA23" s="1">
        <v>64.690731700000001</v>
      </c>
      <c r="AB23" s="1">
        <v>65.854146299999996</v>
      </c>
      <c r="AC23" s="1">
        <v>66.698780499999998</v>
      </c>
      <c r="AD23" s="1">
        <v>67.0297561</v>
      </c>
      <c r="AE23" s="1">
        <v>65.982195099999998</v>
      </c>
      <c r="AF23" s="1">
        <v>65.483658500000004</v>
      </c>
      <c r="AG23" s="1">
        <v>65.383414599999995</v>
      </c>
      <c r="AH23" s="1">
        <v>65.128780500000005</v>
      </c>
      <c r="AI23" s="1">
        <v>65.047804900000003</v>
      </c>
      <c r="AJ23" s="1">
        <v>65.470975600000003</v>
      </c>
      <c r="AK23" s="1">
        <v>65.5297561</v>
      </c>
      <c r="AL23" s="1">
        <v>66.727560999999994</v>
      </c>
      <c r="AM23" s="1">
        <v>67.586829300000005</v>
      </c>
      <c r="AN23" s="1">
        <v>67.9492683</v>
      </c>
      <c r="AO23" s="1">
        <v>68.684634099999997</v>
      </c>
      <c r="AP23" s="1">
        <v>68.841219499999994</v>
      </c>
      <c r="AQ23" s="1">
        <v>69.683902399999994</v>
      </c>
      <c r="AR23" s="1">
        <v>70.072195100000002</v>
      </c>
      <c r="AS23" s="1">
        <v>70.578780499999993</v>
      </c>
      <c r="AT23" s="1">
        <v>70.743658499999995</v>
      </c>
      <c r="AU23" s="1">
        <v>71.168292699999995</v>
      </c>
      <c r="AV23" s="1">
        <v>71.592926800000001</v>
      </c>
    </row>
    <row r="24" spans="1:48" x14ac:dyDescent="0.2">
      <c r="A24" s="1" t="s">
        <v>19</v>
      </c>
      <c r="W24" s="1">
        <v>71.4878049</v>
      </c>
      <c r="AC24" s="1">
        <v>72.039024400000002</v>
      </c>
      <c r="AF24" s="1">
        <v>71.582926799999996</v>
      </c>
      <c r="AG24" s="1">
        <v>72.234146300000006</v>
      </c>
      <c r="AH24" s="1">
        <v>72.285365900000002</v>
      </c>
      <c r="AI24" s="1">
        <v>72.436585399999998</v>
      </c>
      <c r="AJ24" s="1">
        <v>72.682926800000004</v>
      </c>
      <c r="AK24" s="1">
        <v>72.8341463</v>
      </c>
      <c r="AL24" s="1">
        <v>73.385365899999996</v>
      </c>
      <c r="AM24" s="1">
        <v>73.631707300000002</v>
      </c>
      <c r="AN24" s="1">
        <v>73.885365899999996</v>
      </c>
      <c r="AO24" s="1">
        <v>73.985365900000005</v>
      </c>
      <c r="AP24" s="1">
        <v>74.336585400000004</v>
      </c>
      <c r="AQ24" s="1">
        <v>74.536585400000007</v>
      </c>
      <c r="AR24" s="1">
        <v>74.836585400000004</v>
      </c>
      <c r="AS24" s="1">
        <v>75.185365899999994</v>
      </c>
      <c r="AT24" s="1">
        <v>75.336585400000004</v>
      </c>
      <c r="AU24" s="1">
        <v>75.287804899999998</v>
      </c>
      <c r="AV24" s="1">
        <v>75.239024400000005</v>
      </c>
    </row>
    <row r="25" spans="1:48" x14ac:dyDescent="0.2">
      <c r="A25" s="1" t="s">
        <v>4</v>
      </c>
      <c r="B25" s="1">
        <v>70.134243900000001</v>
      </c>
      <c r="C25" s="1">
        <v>70.099487800000006</v>
      </c>
      <c r="D25" s="1">
        <v>70.098926800000001</v>
      </c>
      <c r="E25" s="1">
        <v>70.125073200000003</v>
      </c>
      <c r="F25" s="1">
        <v>70.175902399999998</v>
      </c>
      <c r="G25" s="1">
        <v>70.244878</v>
      </c>
      <c r="H25" s="1">
        <v>70.322463400000004</v>
      </c>
      <c r="I25" s="1">
        <v>70.398609800000003</v>
      </c>
      <c r="J25" s="1">
        <v>70.465243900000004</v>
      </c>
      <c r="K25" s="1">
        <v>70.519902400000007</v>
      </c>
      <c r="L25" s="1">
        <v>70.408536600000005</v>
      </c>
      <c r="M25" s="1">
        <v>70.629268300000007</v>
      </c>
      <c r="N25" s="1">
        <v>70.689024399999994</v>
      </c>
      <c r="O25" s="1">
        <v>70.4790244</v>
      </c>
      <c r="P25" s="1">
        <v>70.750975600000004</v>
      </c>
      <c r="Q25" s="1">
        <v>70.734634099999994</v>
      </c>
      <c r="R25" s="1">
        <v>71.021219500000001</v>
      </c>
      <c r="S25" s="1">
        <v>71.088780499999999</v>
      </c>
      <c r="T25" s="1">
        <v>71.207804899999999</v>
      </c>
      <c r="U25" s="1">
        <v>71.026341500000001</v>
      </c>
      <c r="V25" s="1">
        <v>70.932682900000003</v>
      </c>
      <c r="W25" s="1">
        <v>70.882926800000007</v>
      </c>
      <c r="X25" s="1">
        <v>71.795122000000006</v>
      </c>
      <c r="Y25" s="1">
        <v>72.448780499999998</v>
      </c>
      <c r="Z25" s="1">
        <v>72.3</v>
      </c>
      <c r="AA25" s="1">
        <v>72.2536585</v>
      </c>
      <c r="AB25" s="1">
        <v>72.653658500000006</v>
      </c>
      <c r="AC25" s="1">
        <v>72.704877999999994</v>
      </c>
      <c r="AD25" s="1">
        <v>72.551219500000002</v>
      </c>
      <c r="AE25" s="1">
        <v>72.902439000000001</v>
      </c>
      <c r="AF25" s="1">
        <v>73.051219500000002</v>
      </c>
      <c r="AG25" s="1">
        <v>73.402439000000001</v>
      </c>
      <c r="AH25" s="1">
        <v>73.604877999999999</v>
      </c>
      <c r="AI25" s="1">
        <v>73.604877999999999</v>
      </c>
      <c r="AJ25" s="1">
        <v>73.958536600000002</v>
      </c>
      <c r="AK25" s="1">
        <v>73.904877999999997</v>
      </c>
      <c r="AL25" s="1">
        <v>74.204877999999994</v>
      </c>
      <c r="AM25" s="1">
        <v>74.207317099999997</v>
      </c>
      <c r="AN25" s="1">
        <v>74.704877999999994</v>
      </c>
      <c r="AO25" s="1">
        <v>74.909756099999996</v>
      </c>
      <c r="AP25" s="1">
        <v>75.112195099999994</v>
      </c>
      <c r="AQ25" s="1">
        <v>75.958536600000002</v>
      </c>
      <c r="AR25" s="1">
        <v>76.109756099999998</v>
      </c>
      <c r="AS25" s="1">
        <v>76.412195100000005</v>
      </c>
      <c r="AT25" s="1">
        <v>76.812195099999997</v>
      </c>
      <c r="AU25" s="1">
        <v>76.563414600000002</v>
      </c>
      <c r="AV25" s="1">
        <v>76.563414600000002</v>
      </c>
    </row>
    <row r="26" spans="1:48" x14ac:dyDescent="0.2">
      <c r="A26" s="1" t="s">
        <v>6</v>
      </c>
      <c r="B26" s="1">
        <v>68.609756099999998</v>
      </c>
      <c r="C26" s="1">
        <v>68.8341463</v>
      </c>
      <c r="D26" s="1">
        <v>69.058536599999996</v>
      </c>
      <c r="E26" s="1">
        <v>69.404877999999997</v>
      </c>
      <c r="F26" s="1">
        <v>70.1609756</v>
      </c>
      <c r="G26" s="1">
        <v>70.358536599999994</v>
      </c>
      <c r="H26" s="1">
        <v>70.307317100000006</v>
      </c>
      <c r="I26" s="1">
        <v>70.556097600000001</v>
      </c>
      <c r="J26" s="1">
        <v>70.702438999999998</v>
      </c>
      <c r="K26" s="1">
        <v>70.853658499999995</v>
      </c>
      <c r="L26" s="1">
        <v>71.104877999999999</v>
      </c>
      <c r="M26" s="1">
        <v>71.204877999999994</v>
      </c>
      <c r="N26" s="1">
        <v>71.053658499999997</v>
      </c>
      <c r="O26" s="1">
        <v>70.541463399999998</v>
      </c>
      <c r="P26" s="1">
        <v>70.902439000000001</v>
      </c>
      <c r="Q26" s="1">
        <v>71.351219499999999</v>
      </c>
      <c r="R26" s="1">
        <v>71.802439000000007</v>
      </c>
      <c r="S26" s="1">
        <v>72.002438999999995</v>
      </c>
      <c r="T26" s="1">
        <v>72.446341500000003</v>
      </c>
      <c r="U26" s="1">
        <v>72.704877999999994</v>
      </c>
      <c r="V26" s="1">
        <v>73.204877999999994</v>
      </c>
      <c r="W26" s="1">
        <v>73.353658499999995</v>
      </c>
      <c r="X26" s="1">
        <v>73.304878000000002</v>
      </c>
      <c r="Y26" s="1">
        <v>73.2536585</v>
      </c>
      <c r="Z26" s="1">
        <v>73.404877999999997</v>
      </c>
      <c r="AA26" s="1">
        <v>73.958536600000002</v>
      </c>
      <c r="AB26" s="1">
        <v>74.458536600000002</v>
      </c>
      <c r="AC26" s="1">
        <v>74.707317099999997</v>
      </c>
      <c r="AD26" s="1">
        <v>74.807317100000006</v>
      </c>
      <c r="AE26" s="1">
        <v>75.009756100000004</v>
      </c>
      <c r="AF26" s="1">
        <v>75.412195100000005</v>
      </c>
      <c r="AG26" s="1">
        <v>75.758536599999999</v>
      </c>
      <c r="AH26" s="1">
        <v>76.007317099999995</v>
      </c>
      <c r="AI26" s="1">
        <v>76.858536599999994</v>
      </c>
      <c r="AJ26" s="1">
        <v>77.207317099999997</v>
      </c>
      <c r="AK26" s="1">
        <v>77.612195099999994</v>
      </c>
      <c r="AL26" s="1">
        <v>78.086585400000004</v>
      </c>
      <c r="AM26" s="1">
        <v>78.560975600000006</v>
      </c>
      <c r="AN26" s="1">
        <v>78.765853699999994</v>
      </c>
      <c r="AO26" s="1">
        <v>78.970731700000002</v>
      </c>
      <c r="AP26" s="1">
        <v>79.421951199999995</v>
      </c>
      <c r="AQ26" s="1">
        <v>79.970731700000002</v>
      </c>
      <c r="AR26" s="1">
        <v>80.124390199999993</v>
      </c>
      <c r="AS26" s="1">
        <v>80.321951200000001</v>
      </c>
      <c r="AT26" s="1">
        <v>81.078048800000005</v>
      </c>
      <c r="AU26" s="1">
        <v>80.775609799999998</v>
      </c>
      <c r="AV26" s="1">
        <v>80.775609799999998</v>
      </c>
    </row>
    <row r="27" spans="1:48" x14ac:dyDescent="0.2">
      <c r="A27" s="1" t="s">
        <v>28</v>
      </c>
      <c r="B27" s="1">
        <v>60.113999999999997</v>
      </c>
      <c r="C27" s="1">
        <v>60.421999999999997</v>
      </c>
      <c r="D27" s="1">
        <v>60.710999999999999</v>
      </c>
      <c r="E27" s="1">
        <v>60.985999999999997</v>
      </c>
      <c r="F27" s="1">
        <v>61.247</v>
      </c>
      <c r="G27" s="1">
        <v>61.499000000000002</v>
      </c>
      <c r="H27" s="1">
        <v>61.743000000000002</v>
      </c>
      <c r="I27" s="1">
        <v>61.981999999999999</v>
      </c>
      <c r="J27" s="1">
        <v>62.216000000000001</v>
      </c>
      <c r="K27" s="1">
        <v>62.445</v>
      </c>
      <c r="L27" s="1">
        <v>62.679000000000002</v>
      </c>
      <c r="M27" s="1">
        <v>62.926000000000002</v>
      </c>
      <c r="N27" s="1">
        <v>63.183999999999997</v>
      </c>
      <c r="O27" s="1">
        <v>63.442</v>
      </c>
      <c r="P27" s="1">
        <v>63.683999999999997</v>
      </c>
      <c r="Q27" s="1">
        <v>63.869</v>
      </c>
      <c r="R27" s="1">
        <v>63.945999999999998</v>
      </c>
      <c r="S27" s="1">
        <v>63.896000000000001</v>
      </c>
      <c r="T27" s="1">
        <v>63.723999999999997</v>
      </c>
      <c r="U27" s="1">
        <v>63.454999999999998</v>
      </c>
      <c r="V27" s="1">
        <v>63.149000000000001</v>
      </c>
      <c r="W27" s="1">
        <v>62.88</v>
      </c>
      <c r="X27" s="1">
        <v>62.719000000000001</v>
      </c>
      <c r="Y27" s="1">
        <v>62.71</v>
      </c>
      <c r="Z27" s="1">
        <v>62.869</v>
      </c>
      <c r="AA27" s="1">
        <v>63.185000000000002</v>
      </c>
      <c r="AB27" s="1">
        <v>63.618000000000002</v>
      </c>
      <c r="AC27" s="1">
        <v>64.105000000000004</v>
      </c>
      <c r="AD27" s="1">
        <v>64.590999999999994</v>
      </c>
      <c r="AE27" s="1">
        <v>65.052999999999997</v>
      </c>
      <c r="AF27" s="1">
        <v>65.484999999999999</v>
      </c>
      <c r="AG27" s="1">
        <v>65.894000000000005</v>
      </c>
      <c r="AH27" s="1">
        <v>66.302999999999997</v>
      </c>
      <c r="AI27" s="1">
        <v>66.727000000000004</v>
      </c>
      <c r="AJ27" s="1">
        <v>67.162999999999997</v>
      </c>
      <c r="AK27" s="1">
        <v>67.606999999999999</v>
      </c>
      <c r="AL27" s="1">
        <v>68.052000000000007</v>
      </c>
      <c r="AM27" s="1">
        <v>68.486999999999995</v>
      </c>
      <c r="AN27" s="1">
        <v>68.902000000000001</v>
      </c>
      <c r="AO27" s="1">
        <v>69.290000000000006</v>
      </c>
      <c r="AP27" s="1">
        <v>69.644000000000005</v>
      </c>
      <c r="AQ27" s="1">
        <v>69.957999999999998</v>
      </c>
      <c r="AR27" s="1">
        <v>70.233999999999995</v>
      </c>
      <c r="AS27" s="1">
        <v>70.477000000000004</v>
      </c>
      <c r="AT27" s="1">
        <v>70.69</v>
      </c>
      <c r="AU27" s="1">
        <v>70.879000000000005</v>
      </c>
      <c r="AV27" s="1">
        <v>71.051000000000002</v>
      </c>
    </row>
    <row r="28" spans="1:48" x14ac:dyDescent="0.2">
      <c r="A28" s="1" t="s">
        <v>32</v>
      </c>
      <c r="B28" s="1">
        <v>58.472000000000001</v>
      </c>
      <c r="C28" s="1">
        <v>58.765000000000001</v>
      </c>
      <c r="D28" s="1">
        <v>59.027999999999999</v>
      </c>
      <c r="E28" s="1">
        <v>59.267000000000003</v>
      </c>
      <c r="F28" s="1">
        <v>59.488</v>
      </c>
      <c r="G28" s="1">
        <v>59.703000000000003</v>
      </c>
      <c r="H28" s="1">
        <v>59.924999999999997</v>
      </c>
      <c r="I28" s="1">
        <v>60.162999999999997</v>
      </c>
      <c r="J28" s="1">
        <v>60.421999999999997</v>
      </c>
      <c r="K28" s="1">
        <v>60.701000000000001</v>
      </c>
      <c r="L28" s="1">
        <v>60.999000000000002</v>
      </c>
      <c r="M28" s="1">
        <v>61.311</v>
      </c>
      <c r="N28" s="1">
        <v>61.622</v>
      </c>
      <c r="O28" s="1">
        <v>61.92</v>
      </c>
      <c r="P28" s="1">
        <v>62.192999999999998</v>
      </c>
      <c r="Q28" s="1">
        <v>62.426000000000002</v>
      </c>
      <c r="R28" s="1">
        <v>62.604999999999997</v>
      </c>
      <c r="S28" s="1">
        <v>62.726999999999997</v>
      </c>
      <c r="T28" s="1">
        <v>62.796999999999997</v>
      </c>
      <c r="U28" s="1">
        <v>62.82</v>
      </c>
      <c r="V28" s="1">
        <v>62.811</v>
      </c>
      <c r="W28" s="1">
        <v>62.783999999999999</v>
      </c>
      <c r="X28" s="1">
        <v>62.761000000000003</v>
      </c>
      <c r="Y28" s="1">
        <v>62.756999999999998</v>
      </c>
      <c r="Z28" s="1">
        <v>62.784999999999997</v>
      </c>
      <c r="AA28" s="1">
        <v>62.85</v>
      </c>
      <c r="AB28" s="1">
        <v>62.951999999999998</v>
      </c>
      <c r="AC28" s="1">
        <v>63.082999999999998</v>
      </c>
      <c r="AD28" s="1">
        <v>63.237000000000002</v>
      </c>
      <c r="AE28" s="1">
        <v>63.411999999999999</v>
      </c>
      <c r="AF28" s="1">
        <v>63.613</v>
      </c>
      <c r="AG28" s="1">
        <v>63.841999999999999</v>
      </c>
      <c r="AH28" s="1">
        <v>64.100999999999999</v>
      </c>
      <c r="AI28" s="1">
        <v>64.385999999999996</v>
      </c>
      <c r="AJ28" s="1">
        <v>64.692999999999998</v>
      </c>
      <c r="AK28" s="1">
        <v>65.016999999999996</v>
      </c>
      <c r="AL28" s="1">
        <v>65.353999999999999</v>
      </c>
      <c r="AM28" s="1">
        <v>65.694999999999993</v>
      </c>
      <c r="AN28" s="1">
        <v>66.031000000000006</v>
      </c>
      <c r="AO28" s="1">
        <v>66.355000000000004</v>
      </c>
      <c r="AP28" s="1">
        <v>66.656999999999996</v>
      </c>
      <c r="AQ28" s="1">
        <v>66.927999999999997</v>
      </c>
      <c r="AR28" s="1">
        <v>67.167000000000002</v>
      </c>
      <c r="AS28" s="1">
        <v>67.375</v>
      </c>
      <c r="AT28" s="1">
        <v>67.552000000000007</v>
      </c>
      <c r="AU28" s="1">
        <v>67.703999999999994</v>
      </c>
      <c r="AV28" s="1">
        <v>67.834999999999994</v>
      </c>
    </row>
    <row r="29" spans="1:48" x14ac:dyDescent="0.2">
      <c r="A29" s="1" t="s">
        <v>8</v>
      </c>
      <c r="B29" s="1">
        <v>70.235219499999999</v>
      </c>
      <c r="C29" s="1">
        <v>70.182634100000001</v>
      </c>
      <c r="D29" s="1">
        <v>70.090853699999997</v>
      </c>
      <c r="E29" s="1">
        <v>69.962926800000005</v>
      </c>
      <c r="F29" s="1">
        <v>69.8088537</v>
      </c>
      <c r="G29" s="1">
        <v>69.6346341</v>
      </c>
      <c r="H29" s="1">
        <v>69.446170699999996</v>
      </c>
      <c r="I29" s="1">
        <v>69.253439</v>
      </c>
      <c r="J29" s="1">
        <v>69.070902399999994</v>
      </c>
      <c r="K29" s="1">
        <v>68.915121999999997</v>
      </c>
      <c r="L29" s="1">
        <v>68.8178293</v>
      </c>
      <c r="M29" s="1">
        <v>68.810829299999995</v>
      </c>
      <c r="N29" s="1">
        <v>68.901243899999997</v>
      </c>
      <c r="O29" s="1">
        <v>69.0774878</v>
      </c>
      <c r="P29" s="1">
        <v>69.317341499999998</v>
      </c>
      <c r="Q29" s="1">
        <v>69.574780500000003</v>
      </c>
      <c r="R29" s="1">
        <v>69.791243899999998</v>
      </c>
      <c r="S29" s="1">
        <v>70.495121999999995</v>
      </c>
      <c r="T29" s="1">
        <v>70.497561000000005</v>
      </c>
      <c r="U29" s="1">
        <v>70.539024400000002</v>
      </c>
      <c r="V29" s="1">
        <v>70.136585400000001</v>
      </c>
      <c r="W29" s="1">
        <v>68.878048800000002</v>
      </c>
      <c r="X29" s="1">
        <v>69.068292700000001</v>
      </c>
      <c r="Y29" s="1">
        <v>68.475609800000001</v>
      </c>
      <c r="Z29" s="1">
        <v>67.838536599999998</v>
      </c>
      <c r="AA29" s="1">
        <v>67.137073200000003</v>
      </c>
      <c r="AB29" s="1">
        <v>66.887804900000006</v>
      </c>
      <c r="AC29" s="1">
        <v>67.295365899999993</v>
      </c>
      <c r="AD29" s="1">
        <v>67.988780500000004</v>
      </c>
      <c r="AE29" s="1">
        <v>68.213414599999993</v>
      </c>
      <c r="AF29" s="1">
        <v>67.859512199999998</v>
      </c>
      <c r="AG29" s="1">
        <v>68.287073199999995</v>
      </c>
      <c r="AH29" s="1">
        <v>68.275609799999998</v>
      </c>
      <c r="AI29" s="1">
        <v>68.210731699999997</v>
      </c>
      <c r="AJ29" s="1">
        <v>68.185365899999994</v>
      </c>
      <c r="AK29" s="1">
        <v>67.956829299999995</v>
      </c>
      <c r="AL29" s="1">
        <v>68.077561000000003</v>
      </c>
      <c r="AM29" s="1">
        <v>68.222195099999993</v>
      </c>
      <c r="AN29" s="1">
        <v>68.251463400000006</v>
      </c>
      <c r="AO29" s="1">
        <v>69.19</v>
      </c>
      <c r="AP29" s="1">
        <v>70.265365900000006</v>
      </c>
      <c r="AQ29" s="1">
        <v>70.809268299999999</v>
      </c>
      <c r="AR29" s="1">
        <v>70.9441463</v>
      </c>
      <c r="AS29" s="1">
        <v>71.159512199999995</v>
      </c>
      <c r="AT29" s="1">
        <v>71.186585399999998</v>
      </c>
      <c r="AU29" s="1">
        <v>71.189512199999996</v>
      </c>
      <c r="AV29" s="1">
        <v>71.476341500000004</v>
      </c>
    </row>
    <row r="30" spans="1:48" x14ac:dyDescent="0.2">
      <c r="A30" s="1" t="s">
        <v>33</v>
      </c>
      <c r="B30" s="1">
        <v>62.390999999999998</v>
      </c>
      <c r="C30" s="1">
        <v>62.658999999999999</v>
      </c>
      <c r="D30" s="1">
        <v>62.902000000000001</v>
      </c>
      <c r="E30" s="1">
        <v>63.125</v>
      </c>
      <c r="F30" s="1">
        <v>63.331000000000003</v>
      </c>
      <c r="G30" s="1">
        <v>63.53</v>
      </c>
      <c r="H30" s="1">
        <v>63.728000000000002</v>
      </c>
      <c r="I30" s="1">
        <v>63.933999999999997</v>
      </c>
      <c r="J30" s="1">
        <v>64.152000000000001</v>
      </c>
      <c r="K30" s="1">
        <v>64.384</v>
      </c>
      <c r="L30" s="1">
        <v>64.637</v>
      </c>
      <c r="M30" s="1">
        <v>64.912999999999997</v>
      </c>
      <c r="N30" s="1">
        <v>65.206000000000003</v>
      </c>
      <c r="O30" s="1">
        <v>65.504000000000005</v>
      </c>
      <c r="P30" s="1">
        <v>65.795000000000002</v>
      </c>
      <c r="Q30" s="1">
        <v>66.058000000000007</v>
      </c>
      <c r="R30" s="1">
        <v>66.269000000000005</v>
      </c>
      <c r="S30" s="1">
        <v>66.415000000000006</v>
      </c>
      <c r="T30" s="1">
        <v>66.495000000000005</v>
      </c>
      <c r="U30" s="1">
        <v>66.512</v>
      </c>
      <c r="V30" s="1">
        <v>66.480999999999995</v>
      </c>
      <c r="W30" s="1">
        <v>66.424000000000007</v>
      </c>
      <c r="X30" s="1">
        <v>66.367999999999995</v>
      </c>
      <c r="Y30" s="1">
        <v>66.335999999999999</v>
      </c>
      <c r="Z30" s="1">
        <v>66.343000000000004</v>
      </c>
      <c r="AA30" s="1">
        <v>66.396000000000001</v>
      </c>
      <c r="AB30" s="1">
        <v>66.494</v>
      </c>
      <c r="AC30" s="1">
        <v>66.626000000000005</v>
      </c>
      <c r="AD30" s="1">
        <v>66.781999999999996</v>
      </c>
      <c r="AE30" s="1">
        <v>66.959000000000003</v>
      </c>
      <c r="AF30" s="1">
        <v>67.153999999999996</v>
      </c>
      <c r="AG30" s="1">
        <v>67.366</v>
      </c>
      <c r="AH30" s="1">
        <v>67.593999999999994</v>
      </c>
      <c r="AI30" s="1">
        <v>67.837000000000003</v>
      </c>
      <c r="AJ30" s="1">
        <v>68.093999999999994</v>
      </c>
      <c r="AK30" s="1">
        <v>68.367000000000004</v>
      </c>
      <c r="AL30" s="1">
        <v>68.662999999999997</v>
      </c>
      <c r="AM30" s="1">
        <v>68.981999999999999</v>
      </c>
      <c r="AN30" s="1">
        <v>69.319000000000003</v>
      </c>
      <c r="AO30" s="1">
        <v>69.665000000000006</v>
      </c>
      <c r="AP30" s="1">
        <v>70.004999999999995</v>
      </c>
      <c r="AQ30" s="1">
        <v>70.322000000000003</v>
      </c>
      <c r="AR30" s="1">
        <v>70.603999999999999</v>
      </c>
      <c r="AS30" s="1">
        <v>70.843999999999994</v>
      </c>
      <c r="AT30" s="1">
        <v>71.039000000000001</v>
      </c>
      <c r="AU30" s="1">
        <v>71.191999999999993</v>
      </c>
      <c r="AV30" s="1">
        <v>71.313999999999993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EF4B6-ACE5-4444-96BA-25E157CE68BF}">
  <dimension ref="A1:AR29"/>
  <sheetViews>
    <sheetView workbookViewId="0">
      <selection activeCell="B61" sqref="B61"/>
    </sheetView>
  </sheetViews>
  <sheetFormatPr baseColWidth="10" defaultRowHeight="16" x14ac:dyDescent="0.2"/>
  <cols>
    <col min="1" max="16384" width="10.83203125" style="1"/>
  </cols>
  <sheetData>
    <row r="1" spans="1:44" x14ac:dyDescent="0.2">
      <c r="B1" s="1">
        <v>1972</v>
      </c>
      <c r="C1" s="1">
        <v>1973</v>
      </c>
      <c r="D1" s="1">
        <v>1974</v>
      </c>
      <c r="E1" s="1">
        <v>1975</v>
      </c>
      <c r="F1" s="1">
        <v>1976</v>
      </c>
      <c r="G1" s="1">
        <v>1977</v>
      </c>
      <c r="H1" s="1">
        <v>1978</v>
      </c>
      <c r="I1" s="1">
        <v>1979</v>
      </c>
      <c r="J1" s="1">
        <v>1980</v>
      </c>
      <c r="K1" s="1">
        <v>1981</v>
      </c>
      <c r="L1" s="1">
        <v>1982</v>
      </c>
      <c r="M1" s="1">
        <v>1983</v>
      </c>
      <c r="N1" s="1">
        <v>1984</v>
      </c>
      <c r="O1" s="1">
        <v>1985</v>
      </c>
      <c r="P1" s="1">
        <v>1986</v>
      </c>
      <c r="Q1" s="1">
        <v>1987</v>
      </c>
      <c r="R1" s="1">
        <v>1988</v>
      </c>
      <c r="S1" s="1">
        <v>1989</v>
      </c>
      <c r="T1" s="1">
        <v>1990</v>
      </c>
      <c r="U1" s="1">
        <v>1991</v>
      </c>
      <c r="V1" s="1">
        <v>1992</v>
      </c>
      <c r="W1" s="1">
        <v>1993</v>
      </c>
      <c r="X1" s="1">
        <v>1994</v>
      </c>
      <c r="Y1" s="1">
        <v>1995</v>
      </c>
      <c r="Z1" s="1">
        <v>1996</v>
      </c>
      <c r="AA1" s="1">
        <v>1997</v>
      </c>
      <c r="AB1" s="1">
        <v>1998</v>
      </c>
      <c r="AC1" s="1">
        <v>1999</v>
      </c>
      <c r="AD1" s="1">
        <v>2000</v>
      </c>
      <c r="AE1" s="1">
        <v>2001</v>
      </c>
      <c r="AF1" s="1">
        <v>2002</v>
      </c>
      <c r="AG1" s="1">
        <v>2003</v>
      </c>
      <c r="AH1" s="1">
        <v>2004</v>
      </c>
      <c r="AI1" s="1">
        <v>2005</v>
      </c>
      <c r="AJ1" s="1">
        <v>2006</v>
      </c>
      <c r="AK1" s="1">
        <v>2007</v>
      </c>
      <c r="AL1" s="1">
        <v>2008</v>
      </c>
      <c r="AM1" s="1">
        <v>2009</v>
      </c>
      <c r="AN1" s="1">
        <v>2010</v>
      </c>
      <c r="AO1" s="1">
        <v>2011</v>
      </c>
      <c r="AP1" s="1">
        <v>2012</v>
      </c>
    </row>
    <row r="2" spans="1:44" x14ac:dyDescent="0.2">
      <c r="A2" s="1" t="s">
        <v>27</v>
      </c>
      <c r="B2" s="6">
        <v>0</v>
      </c>
      <c r="C2" s="6"/>
      <c r="D2" s="6"/>
      <c r="E2" s="6"/>
      <c r="F2" s="6"/>
      <c r="G2" s="6">
        <v>0</v>
      </c>
      <c r="H2" s="6"/>
      <c r="I2" s="6"/>
      <c r="J2" s="6"/>
      <c r="K2" s="6"/>
      <c r="L2" s="6">
        <v>0</v>
      </c>
      <c r="M2" s="6"/>
      <c r="N2" s="6"/>
      <c r="O2" s="6"/>
      <c r="P2" s="6"/>
      <c r="Q2" s="6">
        <v>0</v>
      </c>
      <c r="R2" s="6"/>
      <c r="S2" s="6"/>
      <c r="T2" s="6"/>
      <c r="U2" s="6"/>
      <c r="V2" s="6">
        <v>-27.8</v>
      </c>
      <c r="W2" s="6"/>
      <c r="X2" s="6"/>
      <c r="Y2" s="6"/>
      <c r="Z2" s="6"/>
      <c r="AA2" s="6">
        <v>-11.5</v>
      </c>
      <c r="AB2" s="6"/>
      <c r="AC2" s="6"/>
      <c r="AD2" s="6"/>
      <c r="AE2" s="6"/>
      <c r="AF2" s="6">
        <v>-11.4</v>
      </c>
      <c r="AG2" s="6"/>
      <c r="AH2" s="6"/>
      <c r="AI2" s="6"/>
      <c r="AJ2" s="6"/>
      <c r="AK2" s="6">
        <v>-14.4</v>
      </c>
      <c r="AL2" s="6"/>
      <c r="AM2" s="6"/>
      <c r="AN2" s="6"/>
      <c r="AO2" s="6"/>
      <c r="AP2" s="6">
        <v>-6.4</v>
      </c>
      <c r="AQ2" s="6"/>
      <c r="AR2" s="6"/>
    </row>
    <row r="3" spans="1:44" x14ac:dyDescent="0.2">
      <c r="A3" s="1" t="s">
        <v>23</v>
      </c>
      <c r="B3" s="6">
        <v>6.5</v>
      </c>
      <c r="C3" s="6"/>
      <c r="D3" s="6"/>
      <c r="E3" s="6"/>
      <c r="F3" s="6"/>
      <c r="G3" s="6">
        <v>1.2</v>
      </c>
      <c r="H3" s="6"/>
      <c r="I3" s="6"/>
      <c r="J3" s="6"/>
      <c r="K3" s="6"/>
      <c r="L3" s="6">
        <v>-3.2</v>
      </c>
      <c r="M3" s="6"/>
      <c r="N3" s="6"/>
      <c r="O3" s="6"/>
      <c r="P3" s="6"/>
      <c r="Q3" s="6">
        <v>-3.9</v>
      </c>
      <c r="R3" s="6"/>
      <c r="S3" s="6"/>
      <c r="T3" s="6"/>
      <c r="U3" s="6"/>
      <c r="V3" s="6">
        <v>-29.4</v>
      </c>
      <c r="W3" s="6"/>
      <c r="X3" s="6"/>
      <c r="Y3" s="6"/>
      <c r="Z3" s="6"/>
      <c r="AA3" s="6">
        <v>-14.2</v>
      </c>
      <c r="AB3" s="6"/>
      <c r="AC3" s="6"/>
      <c r="AD3" s="6"/>
      <c r="AE3" s="6"/>
      <c r="AF3" s="6">
        <v>-10.6</v>
      </c>
      <c r="AG3" s="6"/>
      <c r="AH3" s="6"/>
      <c r="AI3" s="6"/>
      <c r="AJ3" s="6"/>
      <c r="AK3" s="6">
        <v>-12.5</v>
      </c>
      <c r="AL3" s="6"/>
      <c r="AM3" s="6"/>
      <c r="AN3" s="6"/>
      <c r="AO3" s="6"/>
      <c r="AP3" s="6">
        <v>-2.1</v>
      </c>
      <c r="AQ3" s="6"/>
      <c r="AR3" s="6"/>
    </row>
    <row r="4" spans="1:44" x14ac:dyDescent="0.2">
      <c r="A4" s="1" t="s">
        <v>29</v>
      </c>
      <c r="B4" s="6">
        <v>-1.9</v>
      </c>
      <c r="C4" s="6"/>
      <c r="D4" s="6"/>
      <c r="E4" s="6"/>
      <c r="F4" s="6"/>
      <c r="G4" s="6">
        <v>-1.7</v>
      </c>
      <c r="H4" s="6"/>
      <c r="I4" s="6"/>
      <c r="J4" s="6"/>
      <c r="K4" s="6"/>
      <c r="L4" s="6">
        <v>-3.2</v>
      </c>
      <c r="M4" s="6"/>
      <c r="N4" s="6"/>
      <c r="O4" s="6"/>
      <c r="P4" s="6"/>
      <c r="Q4" s="6">
        <v>-4.5999999999999996</v>
      </c>
      <c r="R4" s="6"/>
      <c r="S4" s="6"/>
      <c r="T4" s="6"/>
      <c r="U4" s="6"/>
      <c r="V4" s="6">
        <v>-3.1</v>
      </c>
      <c r="W4" s="6"/>
      <c r="X4" s="6"/>
      <c r="Y4" s="6"/>
      <c r="Z4" s="6"/>
      <c r="AA4" s="6">
        <v>-2.8</v>
      </c>
      <c r="AB4" s="6"/>
      <c r="AC4" s="6"/>
      <c r="AD4" s="6"/>
      <c r="AE4" s="6"/>
      <c r="AF4" s="6">
        <v>0.9</v>
      </c>
      <c r="AG4" s="6"/>
      <c r="AH4" s="6"/>
      <c r="AI4" s="6"/>
      <c r="AJ4" s="6"/>
      <c r="AK4" s="6">
        <v>1.2</v>
      </c>
      <c r="AL4" s="6"/>
      <c r="AM4" s="6"/>
      <c r="AN4" s="6"/>
      <c r="AO4" s="6"/>
      <c r="AP4" s="6">
        <v>0</v>
      </c>
      <c r="AQ4" s="6"/>
      <c r="AR4" s="6"/>
    </row>
    <row r="5" spans="1:44" x14ac:dyDescent="0.2">
      <c r="A5" s="1" t="s">
        <v>3</v>
      </c>
      <c r="B5" s="6">
        <v>0.8</v>
      </c>
      <c r="C5" s="6"/>
      <c r="D5" s="6"/>
      <c r="E5" s="6"/>
      <c r="F5" s="6"/>
      <c r="G5" s="6">
        <v>0.8</v>
      </c>
      <c r="H5" s="6"/>
      <c r="I5" s="6"/>
      <c r="J5" s="6"/>
      <c r="K5" s="6"/>
      <c r="L5" s="6">
        <v>1</v>
      </c>
      <c r="M5" s="6"/>
      <c r="N5" s="6"/>
      <c r="O5" s="6"/>
      <c r="P5" s="6"/>
      <c r="Q5" s="6">
        <v>-0.5</v>
      </c>
      <c r="R5" s="6"/>
      <c r="S5" s="6"/>
      <c r="T5" s="6"/>
      <c r="U5" s="6"/>
      <c r="V5" s="6">
        <v>-1.2</v>
      </c>
      <c r="W5" s="6"/>
      <c r="X5" s="6"/>
      <c r="Y5" s="6"/>
      <c r="Z5" s="6"/>
      <c r="AA5" s="6">
        <v>1.1000000000000001</v>
      </c>
      <c r="AB5" s="6"/>
      <c r="AC5" s="6"/>
      <c r="AD5" s="6"/>
      <c r="AE5" s="6"/>
      <c r="AF5" s="6">
        <v>-0.1</v>
      </c>
      <c r="AG5" s="6"/>
      <c r="AH5" s="6"/>
      <c r="AI5" s="6"/>
      <c r="AJ5" s="6"/>
      <c r="AK5" s="6">
        <v>1.3</v>
      </c>
      <c r="AL5" s="6"/>
      <c r="AM5" s="6"/>
      <c r="AN5" s="6"/>
      <c r="AO5" s="6"/>
      <c r="AP5" s="6">
        <v>1.6</v>
      </c>
      <c r="AQ5" s="6"/>
      <c r="AR5" s="6"/>
    </row>
    <row r="6" spans="1:44" x14ac:dyDescent="0.2">
      <c r="A6" s="1" t="s">
        <v>36</v>
      </c>
      <c r="B6" s="6">
        <v>-4.2</v>
      </c>
      <c r="C6" s="6"/>
      <c r="D6" s="6"/>
      <c r="E6" s="6"/>
      <c r="F6" s="6"/>
      <c r="G6" s="6">
        <v>-3.6</v>
      </c>
      <c r="H6" s="6"/>
      <c r="I6" s="6"/>
      <c r="J6" s="6"/>
      <c r="K6" s="6"/>
      <c r="L6" s="6">
        <v>-1.4</v>
      </c>
      <c r="M6" s="6"/>
      <c r="N6" s="6"/>
      <c r="O6" s="6"/>
      <c r="P6" s="6"/>
      <c r="Q6" s="6">
        <v>-6.1</v>
      </c>
      <c r="R6" s="6"/>
      <c r="S6" s="6"/>
      <c r="T6" s="6"/>
      <c r="U6" s="6"/>
      <c r="V6" s="6">
        <v>-35</v>
      </c>
      <c r="W6" s="6"/>
      <c r="X6" s="6"/>
      <c r="Y6" s="6"/>
      <c r="Z6" s="6"/>
      <c r="AA6" s="6">
        <v>-8.4</v>
      </c>
      <c r="AB6" s="6"/>
      <c r="AC6" s="6"/>
      <c r="AD6" s="6"/>
      <c r="AE6" s="6"/>
      <c r="AF6" s="6">
        <v>-0.3</v>
      </c>
      <c r="AG6" s="6"/>
      <c r="AH6" s="6"/>
      <c r="AI6" s="6"/>
      <c r="AJ6" s="6"/>
      <c r="AK6" s="6">
        <v>-3.2</v>
      </c>
      <c r="AL6" s="6"/>
      <c r="AM6" s="6"/>
      <c r="AN6" s="6"/>
      <c r="AO6" s="6"/>
      <c r="AP6" s="6">
        <v>-8.9</v>
      </c>
      <c r="AQ6" s="6"/>
      <c r="AR6" s="6"/>
    </row>
    <row r="7" spans="1:44" x14ac:dyDescent="0.2">
      <c r="A7" s="1" t="s">
        <v>22</v>
      </c>
      <c r="B7" s="6">
        <v>-1</v>
      </c>
      <c r="C7" s="6"/>
      <c r="D7" s="6"/>
      <c r="E7" s="6"/>
      <c r="F7" s="6"/>
      <c r="G7" s="6">
        <v>-2.2000000000000002</v>
      </c>
      <c r="H7" s="6"/>
      <c r="I7" s="6"/>
      <c r="J7" s="6"/>
      <c r="K7" s="6"/>
      <c r="L7" s="6">
        <v>-0.5</v>
      </c>
      <c r="M7" s="6"/>
      <c r="N7" s="6"/>
      <c r="O7" s="6"/>
      <c r="P7" s="6"/>
      <c r="Q7" s="6">
        <v>-4.0999999999999996</v>
      </c>
      <c r="R7" s="6"/>
      <c r="S7" s="6"/>
      <c r="T7" s="6"/>
      <c r="U7" s="6"/>
      <c r="V7" s="6">
        <v>-8.3000000000000007</v>
      </c>
      <c r="W7" s="6"/>
      <c r="X7" s="6"/>
      <c r="Y7" s="6"/>
      <c r="Z7" s="6"/>
      <c r="AA7" s="6">
        <v>-3.3</v>
      </c>
      <c r="AB7" s="6"/>
      <c r="AC7" s="6"/>
      <c r="AD7" s="6"/>
      <c r="AE7" s="6"/>
      <c r="AF7" s="6">
        <v>-2.2000000000000002</v>
      </c>
      <c r="AG7" s="6"/>
      <c r="AH7" s="6"/>
      <c r="AI7" s="6"/>
      <c r="AJ7" s="6"/>
      <c r="AK7" s="6">
        <v>-2.2000000000000002</v>
      </c>
      <c r="AL7" s="6"/>
      <c r="AM7" s="6"/>
      <c r="AN7" s="6"/>
      <c r="AO7" s="6"/>
      <c r="AP7" s="6">
        <v>-0.7</v>
      </c>
      <c r="AQ7" s="6"/>
      <c r="AR7" s="6"/>
    </row>
    <row r="8" spans="1:44" x14ac:dyDescent="0.2">
      <c r="A8" s="1" t="s">
        <v>12</v>
      </c>
      <c r="B8" s="6">
        <v>-0.8</v>
      </c>
      <c r="C8" s="6"/>
      <c r="D8" s="6"/>
      <c r="E8" s="6"/>
      <c r="F8" s="6"/>
      <c r="G8" s="6">
        <v>0.8</v>
      </c>
      <c r="H8" s="6"/>
      <c r="I8" s="6"/>
      <c r="J8" s="6"/>
      <c r="K8" s="6"/>
      <c r="L8" s="6">
        <v>2.2999999999999998</v>
      </c>
      <c r="M8" s="6"/>
      <c r="N8" s="6"/>
      <c r="O8" s="6"/>
      <c r="P8" s="6"/>
      <c r="Q8" s="6">
        <v>1.1000000000000001</v>
      </c>
      <c r="R8" s="6"/>
      <c r="S8" s="6"/>
      <c r="T8" s="6"/>
      <c r="U8" s="6"/>
      <c r="V8" s="6">
        <v>-6.1</v>
      </c>
      <c r="W8" s="6"/>
      <c r="X8" s="6"/>
      <c r="Y8" s="6"/>
      <c r="Z8" s="6"/>
      <c r="AA8" s="6">
        <v>-8.3000000000000007</v>
      </c>
      <c r="AB8" s="6"/>
      <c r="AC8" s="6"/>
      <c r="AD8" s="6"/>
      <c r="AE8" s="6"/>
      <c r="AF8" s="6">
        <v>-0.1</v>
      </c>
      <c r="AG8" s="6"/>
      <c r="AH8" s="6"/>
      <c r="AI8" s="6"/>
      <c r="AJ8" s="6"/>
      <c r="AK8" s="6">
        <v>-0.5</v>
      </c>
      <c r="AL8" s="6"/>
      <c r="AM8" s="6"/>
      <c r="AN8" s="6"/>
      <c r="AO8" s="6"/>
      <c r="AP8" s="6">
        <v>-1.5</v>
      </c>
      <c r="AQ8" s="6"/>
      <c r="AR8" s="6"/>
    </row>
    <row r="9" spans="1:44" x14ac:dyDescent="0.2">
      <c r="A9" s="1" t="s">
        <v>37</v>
      </c>
      <c r="B9" s="6">
        <v>0.2</v>
      </c>
      <c r="C9" s="6"/>
      <c r="D9" s="6"/>
      <c r="E9" s="6"/>
      <c r="F9" s="6"/>
      <c r="G9" s="6">
        <v>0.2</v>
      </c>
      <c r="H9" s="6"/>
      <c r="I9" s="6"/>
      <c r="J9" s="6"/>
      <c r="K9" s="6"/>
      <c r="L9" s="6">
        <v>-1</v>
      </c>
      <c r="M9" s="6"/>
      <c r="N9" s="6"/>
      <c r="O9" s="6"/>
      <c r="P9" s="6"/>
      <c r="Q9" s="6">
        <v>0.1</v>
      </c>
      <c r="R9" s="6"/>
      <c r="S9" s="6"/>
      <c r="T9" s="6"/>
      <c r="U9" s="6"/>
      <c r="V9" s="6">
        <v>0.6</v>
      </c>
      <c r="W9" s="6"/>
      <c r="X9" s="6"/>
      <c r="Y9" s="6"/>
      <c r="Z9" s="6"/>
      <c r="AA9" s="6">
        <v>0.9</v>
      </c>
      <c r="AB9" s="6"/>
      <c r="AC9" s="6"/>
      <c r="AD9" s="6"/>
      <c r="AE9" s="6"/>
      <c r="AF9" s="6">
        <v>0.9</v>
      </c>
      <c r="AG9" s="6"/>
      <c r="AH9" s="6"/>
      <c r="AI9" s="6"/>
      <c r="AJ9" s="6"/>
      <c r="AK9" s="6">
        <v>4.8</v>
      </c>
      <c r="AL9" s="6"/>
      <c r="AM9" s="6"/>
      <c r="AN9" s="6"/>
      <c r="AO9" s="6"/>
      <c r="AP9" s="6">
        <v>1.1000000000000001</v>
      </c>
      <c r="AQ9" s="6"/>
      <c r="AR9" s="6"/>
    </row>
    <row r="10" spans="1:44" x14ac:dyDescent="0.2">
      <c r="A10" s="1" t="s">
        <v>13</v>
      </c>
      <c r="B10" s="6">
        <v>4.4000000000000004</v>
      </c>
      <c r="C10" s="6"/>
      <c r="D10" s="6"/>
      <c r="E10" s="6"/>
      <c r="F10" s="6"/>
      <c r="G10" s="6">
        <v>4.2</v>
      </c>
      <c r="H10" s="6"/>
      <c r="I10" s="6"/>
      <c r="J10" s="6"/>
      <c r="K10" s="6"/>
      <c r="L10" s="6">
        <v>3.5</v>
      </c>
      <c r="M10" s="6"/>
      <c r="N10" s="6"/>
      <c r="O10" s="6"/>
      <c r="P10" s="6"/>
      <c r="Q10" s="6">
        <v>2</v>
      </c>
      <c r="R10" s="6"/>
      <c r="S10" s="6"/>
      <c r="T10" s="6"/>
      <c r="U10" s="6"/>
      <c r="V10" s="6">
        <v>-14.9</v>
      </c>
      <c r="W10" s="6"/>
      <c r="X10" s="6"/>
      <c r="Y10" s="6"/>
      <c r="Z10" s="6"/>
      <c r="AA10" s="6">
        <v>-0.2</v>
      </c>
      <c r="AB10" s="6"/>
      <c r="AC10" s="6"/>
      <c r="AD10" s="6"/>
      <c r="AE10" s="6"/>
      <c r="AF10" s="6">
        <v>-2.7</v>
      </c>
      <c r="AG10" s="6"/>
      <c r="AH10" s="6"/>
      <c r="AI10" s="6"/>
      <c r="AJ10" s="6"/>
      <c r="AK10" s="6">
        <v>-2.2999999999999998</v>
      </c>
      <c r="AL10" s="6"/>
      <c r="AM10" s="6"/>
      <c r="AN10" s="6"/>
      <c r="AO10" s="6"/>
      <c r="AP10" s="6">
        <v>-1.6</v>
      </c>
      <c r="AQ10" s="6"/>
      <c r="AR10" s="6"/>
    </row>
    <row r="11" spans="1:44" x14ac:dyDescent="0.2">
      <c r="A11" s="1" t="s">
        <v>26</v>
      </c>
      <c r="B11" s="6">
        <v>-3.1</v>
      </c>
      <c r="C11" s="6"/>
      <c r="D11" s="6"/>
      <c r="E11" s="6"/>
      <c r="F11" s="6"/>
      <c r="G11" s="6">
        <v>-3.9</v>
      </c>
      <c r="H11" s="6"/>
      <c r="I11" s="6"/>
      <c r="J11" s="6"/>
      <c r="K11" s="6"/>
      <c r="L11" s="6">
        <v>-1.9</v>
      </c>
      <c r="M11" s="6"/>
      <c r="N11" s="6"/>
      <c r="O11" s="6"/>
      <c r="P11" s="6"/>
      <c r="Q11" s="6">
        <v>-1.6</v>
      </c>
      <c r="R11" s="6"/>
      <c r="S11" s="6"/>
      <c r="T11" s="6"/>
      <c r="U11" s="6"/>
      <c r="V11" s="6">
        <v>-20.9</v>
      </c>
      <c r="W11" s="6"/>
      <c r="X11" s="6"/>
      <c r="Y11" s="6"/>
      <c r="Z11" s="6"/>
      <c r="AA11" s="6">
        <v>-15</v>
      </c>
      <c r="AB11" s="6"/>
      <c r="AC11" s="6"/>
      <c r="AD11" s="6"/>
      <c r="AE11" s="6"/>
      <c r="AF11" s="6">
        <v>-12.1</v>
      </c>
      <c r="AG11" s="6"/>
      <c r="AH11" s="6"/>
      <c r="AI11" s="6"/>
      <c r="AJ11" s="6"/>
      <c r="AK11" s="6">
        <v>-13.7</v>
      </c>
      <c r="AL11" s="6"/>
      <c r="AM11" s="6"/>
      <c r="AN11" s="6"/>
      <c r="AO11" s="6"/>
      <c r="AP11" s="6">
        <v>-14.9</v>
      </c>
      <c r="AQ11" s="6"/>
      <c r="AR11" s="6"/>
    </row>
    <row r="12" spans="1:44" x14ac:dyDescent="0.2">
      <c r="A12" s="1" t="s">
        <v>9</v>
      </c>
      <c r="B12" s="6">
        <v>-0.5</v>
      </c>
      <c r="C12" s="6"/>
      <c r="D12" s="6"/>
      <c r="E12" s="6"/>
      <c r="F12" s="6"/>
      <c r="G12" s="6">
        <v>0.2</v>
      </c>
      <c r="H12" s="6"/>
      <c r="I12" s="6"/>
      <c r="J12" s="6"/>
      <c r="K12" s="6"/>
      <c r="L12" s="6">
        <v>-2.2000000000000002</v>
      </c>
      <c r="M12" s="6"/>
      <c r="N12" s="6"/>
      <c r="O12" s="6"/>
      <c r="P12" s="6"/>
      <c r="Q12" s="6">
        <v>-1.7</v>
      </c>
      <c r="R12" s="6"/>
      <c r="S12" s="6"/>
      <c r="T12" s="6"/>
      <c r="U12" s="6"/>
      <c r="V12" s="6">
        <v>1.9</v>
      </c>
      <c r="W12" s="6"/>
      <c r="X12" s="6"/>
      <c r="Y12" s="6"/>
      <c r="Z12" s="6"/>
      <c r="AA12" s="6">
        <v>1.5</v>
      </c>
      <c r="AB12" s="6"/>
      <c r="AC12" s="6"/>
      <c r="AD12" s="6"/>
      <c r="AE12" s="6"/>
      <c r="AF12" s="6">
        <v>1.2</v>
      </c>
      <c r="AG12" s="6"/>
      <c r="AH12" s="6"/>
      <c r="AI12" s="6"/>
      <c r="AJ12" s="6"/>
      <c r="AK12" s="6">
        <v>0.5</v>
      </c>
      <c r="AL12" s="6"/>
      <c r="AM12" s="6"/>
      <c r="AN12" s="6"/>
      <c r="AO12" s="6"/>
      <c r="AP12" s="6">
        <v>0.6</v>
      </c>
      <c r="AQ12" s="6"/>
      <c r="AR12" s="6"/>
    </row>
    <row r="13" spans="1:44" x14ac:dyDescent="0.2">
      <c r="A13" s="1" t="s">
        <v>7</v>
      </c>
      <c r="B13" s="6">
        <v>-1.9</v>
      </c>
      <c r="C13" s="6"/>
      <c r="D13" s="6"/>
      <c r="E13" s="6"/>
      <c r="F13" s="6"/>
      <c r="G13" s="6">
        <v>-5.7</v>
      </c>
      <c r="H13" s="6"/>
      <c r="I13" s="6"/>
      <c r="J13" s="6"/>
      <c r="K13" s="6"/>
      <c r="L13" s="6">
        <v>-5.6</v>
      </c>
      <c r="M13" s="6"/>
      <c r="N13" s="6"/>
      <c r="O13" s="6"/>
      <c r="P13" s="6"/>
      <c r="Q13" s="6">
        <v>-8.1</v>
      </c>
      <c r="R13" s="6"/>
      <c r="S13" s="6"/>
      <c r="T13" s="6"/>
      <c r="U13" s="6"/>
      <c r="V13" s="6">
        <v>-17.3</v>
      </c>
      <c r="W13" s="6"/>
      <c r="X13" s="6"/>
      <c r="Y13" s="6"/>
      <c r="Z13" s="6"/>
      <c r="AA13" s="6">
        <v>-17</v>
      </c>
      <c r="AB13" s="6"/>
      <c r="AC13" s="6"/>
      <c r="AD13" s="6"/>
      <c r="AE13" s="6"/>
      <c r="AF13" s="6">
        <v>0.6</v>
      </c>
      <c r="AG13" s="6"/>
      <c r="AH13" s="6"/>
      <c r="AI13" s="6"/>
      <c r="AJ13" s="6"/>
      <c r="AK13" s="6">
        <v>-0.4</v>
      </c>
      <c r="AL13" s="6"/>
      <c r="AM13" s="6"/>
      <c r="AN13" s="6"/>
      <c r="AO13" s="6"/>
      <c r="AP13" s="6">
        <v>1.9</v>
      </c>
      <c r="AQ13" s="6"/>
      <c r="AR13" s="6"/>
    </row>
    <row r="14" spans="1:44" x14ac:dyDescent="0.2">
      <c r="A14" s="1" t="s">
        <v>14</v>
      </c>
      <c r="B14" s="6">
        <v>-0.8</v>
      </c>
      <c r="C14" s="6"/>
      <c r="D14" s="6"/>
      <c r="E14" s="6"/>
      <c r="F14" s="6"/>
      <c r="G14" s="6">
        <v>-2.7</v>
      </c>
      <c r="H14" s="6"/>
      <c r="I14" s="6"/>
      <c r="J14" s="6"/>
      <c r="K14" s="6"/>
      <c r="L14" s="6">
        <v>-2.8</v>
      </c>
      <c r="M14" s="6"/>
      <c r="N14" s="6"/>
      <c r="O14" s="6"/>
      <c r="P14" s="6"/>
      <c r="Q14" s="6">
        <v>-6.1</v>
      </c>
      <c r="R14" s="6"/>
      <c r="S14" s="6"/>
      <c r="T14" s="6"/>
      <c r="U14" s="6"/>
      <c r="V14" s="6">
        <v>-12.4</v>
      </c>
      <c r="W14" s="6"/>
      <c r="X14" s="6"/>
      <c r="Y14" s="6"/>
      <c r="Z14" s="6"/>
      <c r="AA14" s="6">
        <v>-1.2</v>
      </c>
      <c r="AB14" s="6"/>
      <c r="AC14" s="6"/>
      <c r="AD14" s="6"/>
      <c r="AE14" s="6"/>
      <c r="AF14" s="6">
        <v>-6.9</v>
      </c>
      <c r="AG14" s="6"/>
      <c r="AH14" s="6"/>
      <c r="AI14" s="6"/>
      <c r="AJ14" s="6"/>
      <c r="AK14" s="6">
        <v>-2.9</v>
      </c>
      <c r="AL14" s="6"/>
      <c r="AM14" s="6"/>
      <c r="AN14" s="6"/>
      <c r="AO14" s="6"/>
      <c r="AP14" s="6">
        <v>-4.9000000000000004</v>
      </c>
      <c r="AQ14" s="6"/>
      <c r="AR14" s="6"/>
    </row>
    <row r="15" spans="1:44" x14ac:dyDescent="0.2">
      <c r="A15" s="1" t="s">
        <v>20</v>
      </c>
      <c r="B15" s="6">
        <v>4.5</v>
      </c>
      <c r="C15" s="6"/>
      <c r="D15" s="6"/>
      <c r="E15" s="6"/>
      <c r="F15" s="6"/>
      <c r="G15" s="6">
        <v>2.9</v>
      </c>
      <c r="H15" s="6"/>
      <c r="I15" s="6"/>
      <c r="J15" s="6"/>
      <c r="K15" s="6"/>
      <c r="L15" s="6">
        <v>2.4</v>
      </c>
      <c r="M15" s="6"/>
      <c r="N15" s="6"/>
      <c r="O15" s="6"/>
      <c r="P15" s="6"/>
      <c r="Q15" s="6">
        <v>3.2</v>
      </c>
      <c r="R15" s="6"/>
      <c r="S15" s="6"/>
      <c r="T15" s="6"/>
      <c r="U15" s="6"/>
      <c r="V15" s="6">
        <v>-9</v>
      </c>
      <c r="W15" s="6"/>
      <c r="X15" s="6"/>
      <c r="Y15" s="6"/>
      <c r="Z15" s="6"/>
      <c r="AA15" s="6">
        <v>-3.8</v>
      </c>
      <c r="AB15" s="6"/>
      <c r="AC15" s="6"/>
      <c r="AD15" s="6"/>
      <c r="AE15" s="6"/>
      <c r="AF15" s="6">
        <v>-6.3</v>
      </c>
      <c r="AG15" s="6"/>
      <c r="AH15" s="6"/>
      <c r="AI15" s="6"/>
      <c r="AJ15" s="6"/>
      <c r="AK15" s="6">
        <v>-7.9</v>
      </c>
      <c r="AL15" s="6"/>
      <c r="AM15" s="6"/>
      <c r="AN15" s="6"/>
      <c r="AO15" s="6"/>
      <c r="AP15" s="6">
        <v>-8.1</v>
      </c>
      <c r="AQ15" s="6"/>
      <c r="AR15" s="6"/>
    </row>
    <row r="16" spans="1:44" x14ac:dyDescent="0.2">
      <c r="A16" s="1" t="s">
        <v>21</v>
      </c>
      <c r="B16" s="6">
        <v>2.2999999999999998</v>
      </c>
      <c r="C16" s="6"/>
      <c r="D16" s="6"/>
      <c r="E16" s="6"/>
      <c r="F16" s="6"/>
      <c r="G16" s="6">
        <v>2.2999999999999998</v>
      </c>
      <c r="H16" s="6"/>
      <c r="I16" s="6"/>
      <c r="J16" s="6"/>
      <c r="K16" s="6"/>
      <c r="L16" s="6">
        <v>2.5</v>
      </c>
      <c r="M16" s="6"/>
      <c r="N16" s="6"/>
      <c r="O16" s="6"/>
      <c r="P16" s="6"/>
      <c r="Q16" s="6">
        <v>2</v>
      </c>
      <c r="R16" s="6"/>
      <c r="S16" s="6"/>
      <c r="T16" s="6"/>
      <c r="U16" s="6"/>
      <c r="V16" s="6">
        <v>-5.5</v>
      </c>
      <c r="W16" s="6"/>
      <c r="X16" s="6"/>
      <c r="Y16" s="6"/>
      <c r="Z16" s="6"/>
      <c r="AA16" s="6">
        <v>-5.3</v>
      </c>
      <c r="AB16" s="6"/>
      <c r="AC16" s="6"/>
      <c r="AD16" s="6"/>
      <c r="AE16" s="6"/>
      <c r="AF16" s="6">
        <v>-5.8</v>
      </c>
      <c r="AG16" s="6"/>
      <c r="AH16" s="6"/>
      <c r="AI16" s="6"/>
      <c r="AJ16" s="6"/>
      <c r="AK16" s="6">
        <v>-9.3000000000000007</v>
      </c>
      <c r="AL16" s="6"/>
      <c r="AM16" s="6"/>
      <c r="AN16" s="6"/>
      <c r="AO16" s="6"/>
      <c r="AP16" s="6">
        <v>-9.6999999999999993</v>
      </c>
      <c r="AQ16" s="6"/>
      <c r="AR16" s="6"/>
    </row>
    <row r="17" spans="1:44" x14ac:dyDescent="0.2">
      <c r="A17" s="1" t="s">
        <v>15</v>
      </c>
      <c r="B17" s="6">
        <v>-6.9</v>
      </c>
      <c r="C17" s="6"/>
      <c r="D17" s="6"/>
      <c r="E17" s="6"/>
      <c r="F17" s="6"/>
      <c r="G17" s="6">
        <v>-1.6</v>
      </c>
      <c r="H17" s="6"/>
      <c r="I17" s="6"/>
      <c r="J17" s="6"/>
      <c r="K17" s="6"/>
      <c r="L17" s="6">
        <v>-7.5</v>
      </c>
      <c r="M17" s="6"/>
      <c r="N17" s="6"/>
      <c r="O17" s="6"/>
      <c r="P17" s="6"/>
      <c r="Q17" s="6">
        <v>-9.9</v>
      </c>
      <c r="R17" s="6"/>
      <c r="S17" s="6"/>
      <c r="T17" s="6"/>
      <c r="U17" s="6"/>
      <c r="V17" s="6">
        <v>-10.1</v>
      </c>
      <c r="W17" s="6"/>
      <c r="X17" s="6"/>
      <c r="Y17" s="6"/>
      <c r="Z17" s="6"/>
      <c r="AA17" s="6">
        <v>-0.5</v>
      </c>
      <c r="AB17" s="6"/>
      <c r="AC17" s="6"/>
      <c r="AD17" s="6"/>
      <c r="AE17" s="6"/>
      <c r="AF17" s="6">
        <v>-1.4</v>
      </c>
      <c r="AG17" s="6"/>
      <c r="AH17" s="6"/>
      <c r="AI17" s="6"/>
      <c r="AJ17" s="6"/>
      <c r="AK17" s="6">
        <v>-0.7</v>
      </c>
      <c r="AL17" s="6"/>
      <c r="AM17" s="6"/>
      <c r="AN17" s="6"/>
      <c r="AO17" s="6"/>
      <c r="AP17" s="6">
        <v>-0.9</v>
      </c>
      <c r="AQ17" s="6"/>
      <c r="AR17" s="6"/>
    </row>
    <row r="18" spans="1:44" x14ac:dyDescent="0.2">
      <c r="A18" s="1" t="s">
        <v>16</v>
      </c>
      <c r="B18" s="6">
        <v>3</v>
      </c>
      <c r="C18" s="6"/>
      <c r="D18" s="6"/>
      <c r="E18" s="6"/>
      <c r="F18" s="6"/>
      <c r="G18" s="6">
        <v>-1.3</v>
      </c>
      <c r="H18" s="6"/>
      <c r="I18" s="6"/>
      <c r="J18" s="6"/>
      <c r="K18" s="6"/>
      <c r="L18" s="6">
        <v>-0.4</v>
      </c>
      <c r="M18" s="6"/>
      <c r="N18" s="6"/>
      <c r="O18" s="6"/>
      <c r="P18" s="6"/>
      <c r="Q18" s="6">
        <v>-3.9</v>
      </c>
      <c r="R18" s="6"/>
      <c r="S18" s="6"/>
      <c r="T18" s="6"/>
      <c r="U18" s="6"/>
      <c r="V18" s="6">
        <v>-6.1</v>
      </c>
      <c r="W18" s="6"/>
      <c r="X18" s="6"/>
      <c r="Y18" s="6"/>
      <c r="Z18" s="6"/>
      <c r="AA18" s="6">
        <v>-7.7</v>
      </c>
      <c r="AB18" s="6"/>
      <c r="AC18" s="6"/>
      <c r="AD18" s="6"/>
      <c r="AE18" s="6"/>
      <c r="AF18" s="6">
        <v>-0.6</v>
      </c>
      <c r="AG18" s="6"/>
      <c r="AH18" s="6"/>
      <c r="AI18" s="6"/>
      <c r="AJ18" s="6"/>
      <c r="AK18" s="6">
        <v>-2.2999999999999998</v>
      </c>
      <c r="AL18" s="6"/>
      <c r="AM18" s="6"/>
      <c r="AN18" s="6"/>
      <c r="AO18" s="6"/>
      <c r="AP18" s="6">
        <v>-0.5</v>
      </c>
      <c r="AQ18" s="6"/>
      <c r="AR18" s="6"/>
    </row>
    <row r="19" spans="1:44" x14ac:dyDescent="0.2">
      <c r="A19" s="1" t="s">
        <v>24</v>
      </c>
      <c r="B19" s="6">
        <v>-0.7</v>
      </c>
      <c r="C19" s="6"/>
      <c r="D19" s="6"/>
      <c r="E19" s="6"/>
      <c r="F19" s="6"/>
      <c r="G19" s="6">
        <v>-2.6</v>
      </c>
      <c r="H19" s="6"/>
      <c r="I19" s="6"/>
      <c r="J19" s="6"/>
      <c r="K19" s="6"/>
      <c r="L19" s="6">
        <v>-0.7</v>
      </c>
      <c r="M19" s="6"/>
      <c r="N19" s="6"/>
      <c r="O19" s="6"/>
      <c r="P19" s="6"/>
      <c r="Q19" s="6">
        <v>-9.8000000000000007</v>
      </c>
      <c r="R19" s="6"/>
      <c r="S19" s="6"/>
      <c r="T19" s="6"/>
      <c r="U19" s="6"/>
      <c r="V19" s="6">
        <v>-6.6</v>
      </c>
      <c r="W19" s="6"/>
      <c r="X19" s="6"/>
      <c r="Y19" s="6"/>
      <c r="Z19" s="6"/>
      <c r="AA19" s="6">
        <v>-7</v>
      </c>
      <c r="AB19" s="6"/>
      <c r="AC19" s="6"/>
      <c r="AD19" s="6"/>
      <c r="AE19" s="6"/>
      <c r="AF19" s="6">
        <v>-2.6</v>
      </c>
      <c r="AG19" s="6"/>
      <c r="AH19" s="6"/>
      <c r="AI19" s="6"/>
      <c r="AJ19" s="6"/>
      <c r="AK19" s="6">
        <v>-0.2</v>
      </c>
      <c r="AL19" s="6"/>
      <c r="AM19" s="6"/>
      <c r="AN19" s="6"/>
      <c r="AO19" s="6"/>
      <c r="AP19" s="6">
        <v>-1</v>
      </c>
      <c r="AQ19" s="6"/>
      <c r="AR19" s="6"/>
    </row>
    <row r="20" spans="1:44" x14ac:dyDescent="0.2">
      <c r="A20" s="1" t="s">
        <v>11</v>
      </c>
      <c r="B20" s="6">
        <v>-1</v>
      </c>
      <c r="C20" s="6"/>
      <c r="D20" s="6"/>
      <c r="E20" s="6"/>
      <c r="F20" s="6"/>
      <c r="G20" s="6">
        <v>-0.6</v>
      </c>
      <c r="H20" s="6"/>
      <c r="I20" s="6"/>
      <c r="J20" s="6"/>
      <c r="K20" s="6"/>
      <c r="L20" s="6">
        <v>-0.7</v>
      </c>
      <c r="M20" s="6"/>
      <c r="N20" s="6"/>
      <c r="O20" s="6"/>
      <c r="P20" s="6"/>
      <c r="Q20" s="6">
        <v>-1.6</v>
      </c>
      <c r="R20" s="6"/>
      <c r="S20" s="6"/>
      <c r="T20" s="6"/>
      <c r="U20" s="6"/>
      <c r="V20" s="6">
        <v>-0.8</v>
      </c>
      <c r="W20" s="6"/>
      <c r="X20" s="6"/>
      <c r="Y20" s="6"/>
      <c r="Z20" s="6"/>
      <c r="AA20" s="6">
        <v>-0.4</v>
      </c>
      <c r="AB20" s="6"/>
      <c r="AC20" s="6"/>
      <c r="AD20" s="6"/>
      <c r="AE20" s="6"/>
      <c r="AF20" s="6">
        <v>-1</v>
      </c>
      <c r="AG20" s="6"/>
      <c r="AH20" s="6"/>
      <c r="AI20" s="6"/>
      <c r="AJ20" s="6"/>
      <c r="AK20" s="6">
        <v>-0.9</v>
      </c>
      <c r="AL20" s="6"/>
      <c r="AM20" s="6"/>
      <c r="AN20" s="6"/>
      <c r="AO20" s="6"/>
      <c r="AP20" s="6">
        <v>-0.4</v>
      </c>
      <c r="AQ20" s="6"/>
      <c r="AR20" s="6"/>
    </row>
    <row r="21" spans="1:44" x14ac:dyDescent="0.2">
      <c r="A21" s="1" t="s">
        <v>17</v>
      </c>
      <c r="B21" s="6">
        <v>0</v>
      </c>
      <c r="C21" s="6"/>
      <c r="D21" s="6"/>
      <c r="E21" s="6"/>
      <c r="F21" s="6"/>
      <c r="G21" s="6">
        <v>-0.9</v>
      </c>
      <c r="H21" s="6"/>
      <c r="I21" s="6"/>
      <c r="J21" s="6"/>
      <c r="K21" s="6"/>
      <c r="L21" s="6">
        <v>-1.8</v>
      </c>
      <c r="M21" s="6"/>
      <c r="N21" s="6"/>
      <c r="O21" s="6"/>
      <c r="P21" s="6"/>
      <c r="Q21" s="6">
        <v>-1.7</v>
      </c>
      <c r="R21" s="6"/>
      <c r="S21" s="6"/>
      <c r="T21" s="6"/>
      <c r="U21" s="6"/>
      <c r="V21" s="6">
        <v>-4.5</v>
      </c>
      <c r="W21" s="6"/>
      <c r="X21" s="6"/>
      <c r="Y21" s="6"/>
      <c r="Z21" s="6"/>
      <c r="AA21" s="6">
        <v>-5.4</v>
      </c>
      <c r="AB21" s="6"/>
      <c r="AC21" s="6"/>
      <c r="AD21" s="6"/>
      <c r="AE21" s="6"/>
      <c r="AF21" s="6">
        <v>-4.3</v>
      </c>
      <c r="AG21" s="6"/>
      <c r="AH21" s="6"/>
      <c r="AI21" s="6"/>
      <c r="AJ21" s="6"/>
      <c r="AK21" s="6">
        <v>-7.4</v>
      </c>
      <c r="AL21" s="6"/>
      <c r="AM21" s="6"/>
      <c r="AN21" s="6"/>
      <c r="AO21" s="6"/>
      <c r="AP21" s="6">
        <v>-3</v>
      </c>
      <c r="AQ21" s="6"/>
      <c r="AR21" s="6"/>
    </row>
    <row r="22" spans="1:44" x14ac:dyDescent="0.2">
      <c r="A22" s="1" t="s">
        <v>38</v>
      </c>
      <c r="B22" s="6">
        <v>-0.4</v>
      </c>
      <c r="C22" s="6"/>
      <c r="D22" s="6"/>
      <c r="E22" s="6"/>
      <c r="F22" s="6"/>
      <c r="G22" s="6">
        <v>0.9</v>
      </c>
      <c r="H22" s="6"/>
      <c r="I22" s="6"/>
      <c r="J22" s="6"/>
      <c r="K22" s="6"/>
      <c r="L22" s="6">
        <v>1.6</v>
      </c>
      <c r="M22" s="6"/>
      <c r="N22" s="6"/>
      <c r="O22" s="6"/>
      <c r="P22" s="6"/>
      <c r="Q22" s="6">
        <v>1.2</v>
      </c>
      <c r="R22" s="6"/>
      <c r="S22" s="6"/>
      <c r="T22" s="6"/>
      <c r="U22" s="6"/>
      <c r="V22" s="6">
        <v>3.4</v>
      </c>
      <c r="W22" s="6"/>
      <c r="X22" s="6"/>
      <c r="Y22" s="6"/>
      <c r="Z22" s="6"/>
      <c r="AA22" s="6">
        <v>3.1</v>
      </c>
      <c r="AB22" s="6"/>
      <c r="AC22" s="6"/>
      <c r="AD22" s="6"/>
      <c r="AE22" s="6"/>
      <c r="AF22" s="6">
        <v>2.4</v>
      </c>
      <c r="AG22" s="6"/>
      <c r="AH22" s="6"/>
      <c r="AI22" s="6"/>
      <c r="AJ22" s="6"/>
      <c r="AK22" s="6">
        <v>3</v>
      </c>
      <c r="AL22" s="6"/>
      <c r="AM22" s="6"/>
      <c r="AN22" s="6"/>
      <c r="AO22" s="6"/>
      <c r="AP22" s="6">
        <v>1.4</v>
      </c>
      <c r="AQ22" s="6"/>
      <c r="AR22" s="6"/>
    </row>
    <row r="23" spans="1:44" x14ac:dyDescent="0.2">
      <c r="A23" s="1" t="s">
        <v>94</v>
      </c>
      <c r="B23" s="6">
        <v>-0.5</v>
      </c>
      <c r="C23" s="6"/>
      <c r="D23" s="6"/>
      <c r="E23" s="6"/>
      <c r="F23" s="6"/>
      <c r="G23" s="6">
        <v>0.2</v>
      </c>
      <c r="H23" s="6"/>
      <c r="I23" s="6"/>
      <c r="J23" s="6"/>
      <c r="K23" s="6"/>
      <c r="L23" s="6">
        <v>-0.2</v>
      </c>
      <c r="M23" s="6"/>
      <c r="N23" s="6"/>
      <c r="O23" s="6"/>
      <c r="P23" s="6"/>
      <c r="Q23" s="6">
        <v>-0.6</v>
      </c>
      <c r="R23" s="6"/>
      <c r="S23" s="6"/>
      <c r="T23" s="6"/>
      <c r="U23" s="6"/>
      <c r="V23" s="6">
        <v>3.7</v>
      </c>
      <c r="W23" s="6"/>
      <c r="X23" s="6"/>
      <c r="Y23" s="6"/>
      <c r="Z23" s="6"/>
      <c r="AA23" s="6">
        <v>-10.199999999999999</v>
      </c>
      <c r="AB23" s="6"/>
      <c r="AC23" s="6"/>
      <c r="AD23" s="6"/>
      <c r="AE23" s="6"/>
      <c r="AF23" s="6">
        <v>-5.9</v>
      </c>
      <c r="AG23" s="6"/>
      <c r="AH23" s="6"/>
      <c r="AI23" s="6"/>
      <c r="AJ23" s="6"/>
      <c r="AK23" s="6">
        <v>-2.6</v>
      </c>
      <c r="AL23" s="6"/>
      <c r="AM23" s="6"/>
      <c r="AN23" s="6"/>
      <c r="AO23" s="6"/>
      <c r="AP23" s="6">
        <v>-2.2000000000000002</v>
      </c>
      <c r="AQ23" s="6"/>
      <c r="AR23" s="6"/>
    </row>
    <row r="24" spans="1:44" x14ac:dyDescent="0.2">
      <c r="A24" s="1" t="s">
        <v>4</v>
      </c>
      <c r="B24" s="6">
        <v>-0.7</v>
      </c>
      <c r="C24" s="6"/>
      <c r="D24" s="6"/>
      <c r="E24" s="6"/>
      <c r="F24" s="6"/>
      <c r="G24" s="6">
        <v>-0.4</v>
      </c>
      <c r="H24" s="6"/>
      <c r="I24" s="6"/>
      <c r="J24" s="6"/>
      <c r="K24" s="6"/>
      <c r="L24" s="6">
        <v>-1.4</v>
      </c>
      <c r="M24" s="6"/>
      <c r="N24" s="6"/>
      <c r="O24" s="6"/>
      <c r="P24" s="6"/>
      <c r="Q24" s="6">
        <v>-1.4</v>
      </c>
      <c r="R24" s="6"/>
      <c r="S24" s="6"/>
      <c r="T24" s="6"/>
      <c r="U24" s="6"/>
      <c r="V24" s="6">
        <v>-0.6</v>
      </c>
      <c r="W24" s="6"/>
      <c r="X24" s="6"/>
      <c r="Y24" s="6"/>
      <c r="Z24" s="6"/>
      <c r="AA24" s="6">
        <v>-0.1</v>
      </c>
      <c r="AB24" s="6"/>
      <c r="AC24" s="6"/>
      <c r="AD24" s="6"/>
      <c r="AE24" s="6"/>
      <c r="AF24" s="6">
        <v>0</v>
      </c>
      <c r="AG24" s="6"/>
      <c r="AH24" s="6"/>
      <c r="AI24" s="6"/>
      <c r="AJ24" s="6"/>
      <c r="AK24" s="6">
        <v>-0.3</v>
      </c>
      <c r="AL24" s="6"/>
      <c r="AM24" s="6"/>
      <c r="AN24" s="6"/>
      <c r="AO24" s="6"/>
      <c r="AP24" s="6">
        <v>0.4</v>
      </c>
      <c r="AQ24" s="6"/>
      <c r="AR24" s="6"/>
    </row>
    <row r="25" spans="1:44" x14ac:dyDescent="0.2">
      <c r="A25" s="1" t="s">
        <v>6</v>
      </c>
      <c r="B25" s="6">
        <v>2.1</v>
      </c>
      <c r="C25" s="6"/>
      <c r="D25" s="6"/>
      <c r="E25" s="6"/>
      <c r="F25" s="6"/>
      <c r="G25" s="6">
        <v>3.9</v>
      </c>
      <c r="H25" s="6"/>
      <c r="I25" s="6"/>
      <c r="J25" s="6"/>
      <c r="K25" s="6"/>
      <c r="L25" s="6">
        <v>7.2</v>
      </c>
      <c r="M25" s="6"/>
      <c r="N25" s="6"/>
      <c r="O25" s="6"/>
      <c r="P25" s="6"/>
      <c r="Q25" s="6">
        <v>3.3</v>
      </c>
      <c r="R25" s="6"/>
      <c r="S25" s="6"/>
      <c r="T25" s="6"/>
      <c r="U25" s="6"/>
      <c r="V25" s="6">
        <v>-1.7</v>
      </c>
      <c r="W25" s="6"/>
      <c r="X25" s="6"/>
      <c r="Y25" s="6"/>
      <c r="Z25" s="6"/>
      <c r="AA25" s="6">
        <v>0.1</v>
      </c>
      <c r="AB25" s="6"/>
      <c r="AC25" s="6"/>
      <c r="AD25" s="6"/>
      <c r="AE25" s="6"/>
      <c r="AF25" s="6">
        <v>1.5</v>
      </c>
      <c r="AG25" s="6"/>
      <c r="AH25" s="6"/>
      <c r="AI25" s="6"/>
      <c r="AJ25" s="6"/>
      <c r="AK25" s="6">
        <v>3.9</v>
      </c>
      <c r="AL25" s="6"/>
      <c r="AM25" s="6"/>
      <c r="AN25" s="6"/>
      <c r="AO25" s="6"/>
      <c r="AP25" s="6">
        <v>1.6</v>
      </c>
      <c r="AQ25" s="6"/>
      <c r="AR25" s="6"/>
    </row>
    <row r="26" spans="1:44" x14ac:dyDescent="0.2">
      <c r="A26" s="1" t="s">
        <v>28</v>
      </c>
      <c r="B26" s="6">
        <v>-0.8</v>
      </c>
      <c r="C26" s="6"/>
      <c r="D26" s="6"/>
      <c r="E26" s="6"/>
      <c r="F26" s="6"/>
      <c r="G26" s="6">
        <v>-0.9</v>
      </c>
      <c r="H26" s="6"/>
      <c r="I26" s="6"/>
      <c r="J26" s="6"/>
      <c r="K26" s="6"/>
      <c r="L26" s="6">
        <v>-1.8</v>
      </c>
      <c r="M26" s="6"/>
      <c r="N26" s="6"/>
      <c r="O26" s="6"/>
      <c r="P26" s="6"/>
      <c r="Q26" s="6">
        <v>-2.8</v>
      </c>
      <c r="R26" s="6"/>
      <c r="S26" s="6"/>
      <c r="T26" s="6"/>
      <c r="U26" s="6"/>
      <c r="V26" s="6">
        <v>-10.5</v>
      </c>
      <c r="W26" s="6"/>
      <c r="X26" s="6"/>
      <c r="Y26" s="6"/>
      <c r="Z26" s="6"/>
      <c r="AA26" s="6">
        <v>-9.8000000000000007</v>
      </c>
      <c r="AB26" s="6"/>
      <c r="AC26" s="6"/>
      <c r="AD26" s="6"/>
      <c r="AE26" s="6"/>
      <c r="AF26" s="6">
        <v>-2.5</v>
      </c>
      <c r="AG26" s="6"/>
      <c r="AH26" s="6"/>
      <c r="AI26" s="6"/>
      <c r="AJ26" s="6"/>
      <c r="AK26" s="6">
        <v>-2</v>
      </c>
      <c r="AL26" s="6"/>
      <c r="AM26" s="6"/>
      <c r="AN26" s="6"/>
      <c r="AO26" s="6"/>
      <c r="AP26" s="6">
        <v>-2.5</v>
      </c>
      <c r="AQ26" s="6"/>
      <c r="AR26" s="6"/>
    </row>
    <row r="27" spans="1:44" x14ac:dyDescent="0.2">
      <c r="A27" s="1" t="s">
        <v>32</v>
      </c>
      <c r="B27" s="6">
        <v>2.1</v>
      </c>
      <c r="C27" s="6"/>
      <c r="D27" s="6"/>
      <c r="E27" s="6"/>
      <c r="F27" s="6"/>
      <c r="G27" s="6">
        <v>-0.4</v>
      </c>
      <c r="H27" s="6"/>
      <c r="I27" s="6"/>
      <c r="J27" s="6"/>
      <c r="K27" s="6"/>
      <c r="L27" s="6">
        <v>-2.2999999999999998</v>
      </c>
      <c r="M27" s="6"/>
      <c r="N27" s="6"/>
      <c r="O27" s="6"/>
      <c r="P27" s="6"/>
      <c r="Q27" s="6">
        <v>-2.2999999999999998</v>
      </c>
      <c r="R27" s="6"/>
      <c r="S27" s="6"/>
      <c r="T27" s="6"/>
      <c r="U27" s="6"/>
      <c r="V27" s="6">
        <v>2.2000000000000002</v>
      </c>
      <c r="W27" s="6"/>
      <c r="X27" s="6"/>
      <c r="Y27" s="6"/>
      <c r="Z27" s="6"/>
      <c r="AA27" s="6">
        <v>-3</v>
      </c>
      <c r="AB27" s="6"/>
      <c r="AC27" s="6"/>
      <c r="AD27" s="6"/>
      <c r="AE27" s="6"/>
      <c r="AF27" s="6">
        <v>-5.4</v>
      </c>
      <c r="AG27" s="6"/>
      <c r="AH27" s="6"/>
      <c r="AI27" s="6"/>
      <c r="AJ27" s="6"/>
      <c r="AK27" s="6">
        <v>-2.5</v>
      </c>
      <c r="AL27" s="6"/>
      <c r="AM27" s="6"/>
      <c r="AN27" s="6"/>
      <c r="AO27" s="6"/>
      <c r="AP27" s="6">
        <v>-1.9</v>
      </c>
      <c r="AQ27" s="6"/>
      <c r="AR27" s="6"/>
    </row>
    <row r="28" spans="1:44" x14ac:dyDescent="0.2">
      <c r="A28" s="1" t="s">
        <v>8</v>
      </c>
      <c r="B28" s="6">
        <v>0.9</v>
      </c>
      <c r="C28" s="6"/>
      <c r="D28" s="6"/>
      <c r="E28" s="6"/>
      <c r="F28" s="6"/>
      <c r="G28" s="6">
        <v>0.4</v>
      </c>
      <c r="H28" s="6"/>
      <c r="I28" s="6"/>
      <c r="J28" s="6"/>
      <c r="K28" s="6"/>
      <c r="L28" s="6">
        <v>0.8</v>
      </c>
      <c r="M28" s="6"/>
      <c r="N28" s="6"/>
      <c r="O28" s="6"/>
      <c r="P28" s="6"/>
      <c r="Q28" s="6">
        <v>0</v>
      </c>
      <c r="R28" s="6"/>
      <c r="S28" s="6"/>
      <c r="T28" s="6"/>
      <c r="U28" s="6"/>
      <c r="V28" s="6">
        <v>0.3</v>
      </c>
      <c r="W28" s="6"/>
      <c r="X28" s="6"/>
      <c r="Y28" s="6"/>
      <c r="Z28" s="6"/>
      <c r="AA28" s="6">
        <v>-1.9</v>
      </c>
      <c r="AB28" s="6"/>
      <c r="AC28" s="6"/>
      <c r="AD28" s="6"/>
      <c r="AE28" s="6"/>
      <c r="AF28" s="6">
        <v>-0.7</v>
      </c>
      <c r="AG28" s="6"/>
      <c r="AH28" s="6"/>
      <c r="AI28" s="6"/>
      <c r="AJ28" s="6"/>
      <c r="AK28" s="6">
        <v>1.2</v>
      </c>
      <c r="AL28" s="6"/>
      <c r="AM28" s="6"/>
      <c r="AN28" s="6"/>
      <c r="AO28" s="6"/>
      <c r="AP28" s="6">
        <v>-0.9</v>
      </c>
      <c r="AQ28" s="6"/>
      <c r="AR28" s="6"/>
    </row>
    <row r="29" spans="1:44" x14ac:dyDescent="0.2">
      <c r="A29" s="1" t="s">
        <v>33</v>
      </c>
      <c r="B29" s="6">
        <v>1.1000000000000001</v>
      </c>
      <c r="C29" s="6"/>
      <c r="D29" s="6"/>
      <c r="E29" s="6"/>
      <c r="F29" s="6"/>
      <c r="G29" s="6">
        <v>1</v>
      </c>
      <c r="H29" s="6"/>
      <c r="I29" s="6"/>
      <c r="J29" s="6"/>
      <c r="K29" s="6"/>
      <c r="L29" s="6">
        <v>-2.2000000000000002</v>
      </c>
      <c r="M29" s="6"/>
      <c r="N29" s="6"/>
      <c r="O29" s="6"/>
      <c r="P29" s="6"/>
      <c r="Q29" s="6">
        <v>-3.6</v>
      </c>
      <c r="R29" s="6"/>
      <c r="S29" s="6"/>
      <c r="T29" s="6"/>
      <c r="U29" s="6"/>
      <c r="V29" s="6">
        <v>-3</v>
      </c>
      <c r="W29" s="6"/>
      <c r="X29" s="6"/>
      <c r="Y29" s="6"/>
      <c r="Z29" s="6"/>
      <c r="AA29" s="6">
        <v>-2</v>
      </c>
      <c r="AB29" s="6"/>
      <c r="AC29" s="6"/>
      <c r="AD29" s="6"/>
      <c r="AE29" s="6"/>
      <c r="AF29" s="6">
        <v>-1.9</v>
      </c>
      <c r="AG29" s="6"/>
      <c r="AH29" s="6"/>
      <c r="AI29" s="6"/>
      <c r="AJ29" s="6"/>
      <c r="AK29" s="6">
        <v>-1</v>
      </c>
      <c r="AL29" s="6"/>
      <c r="AM29" s="6"/>
      <c r="AN29" s="6"/>
      <c r="AO29" s="6"/>
      <c r="AP29" s="6">
        <v>-0.4</v>
      </c>
      <c r="AQ29" s="6"/>
      <c r="AR29" s="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0C71E-9C27-4F4C-AD0C-FB517F976B42}">
  <dimension ref="A1:AM29"/>
  <sheetViews>
    <sheetView workbookViewId="0">
      <selection activeCell="B61" sqref="B61"/>
    </sheetView>
  </sheetViews>
  <sheetFormatPr baseColWidth="10" defaultRowHeight="16" x14ac:dyDescent="0.2"/>
  <cols>
    <col min="1" max="16384" width="10.83203125" style="1"/>
  </cols>
  <sheetData>
    <row r="1" spans="1:39" x14ac:dyDescent="0.2">
      <c r="B1" s="1">
        <v>1979</v>
      </c>
      <c r="C1" s="1">
        <v>1980</v>
      </c>
      <c r="D1" s="1">
        <v>1981</v>
      </c>
      <c r="E1" s="1">
        <v>1982</v>
      </c>
      <c r="F1" s="1">
        <v>1983</v>
      </c>
      <c r="G1" s="1">
        <v>1984</v>
      </c>
      <c r="H1" s="1">
        <v>1985</v>
      </c>
      <c r="I1" s="1">
        <v>1986</v>
      </c>
      <c r="J1" s="1">
        <v>1987</v>
      </c>
      <c r="K1" s="1">
        <v>1988</v>
      </c>
      <c r="L1" s="1">
        <v>1989</v>
      </c>
      <c r="M1" s="1">
        <v>1990</v>
      </c>
      <c r="N1" s="1">
        <v>1991</v>
      </c>
      <c r="O1" s="1">
        <v>1992</v>
      </c>
      <c r="P1" s="1">
        <v>1993</v>
      </c>
      <c r="Q1" s="1">
        <v>1994</v>
      </c>
      <c r="R1" s="1">
        <v>1995</v>
      </c>
      <c r="S1" s="1">
        <v>1996</v>
      </c>
      <c r="T1" s="1">
        <v>1997</v>
      </c>
      <c r="U1" s="1">
        <v>1998</v>
      </c>
      <c r="V1" s="1">
        <v>1999</v>
      </c>
      <c r="W1" s="1">
        <v>2000</v>
      </c>
      <c r="X1" s="1">
        <v>2001</v>
      </c>
      <c r="Y1" s="1">
        <v>2002</v>
      </c>
      <c r="Z1" s="1">
        <v>2003</v>
      </c>
      <c r="AA1" s="1">
        <v>2004</v>
      </c>
      <c r="AB1" s="1">
        <v>2005</v>
      </c>
      <c r="AC1" s="1">
        <v>2006</v>
      </c>
      <c r="AD1" s="1">
        <v>2007</v>
      </c>
      <c r="AE1" s="1">
        <v>2008</v>
      </c>
      <c r="AF1" s="1">
        <v>2009</v>
      </c>
      <c r="AG1" s="1">
        <v>2010</v>
      </c>
      <c r="AH1" s="1">
        <v>2011</v>
      </c>
      <c r="AI1" s="1">
        <v>2012</v>
      </c>
      <c r="AJ1" s="1">
        <v>2013</v>
      </c>
      <c r="AK1" s="1">
        <v>2014</v>
      </c>
      <c r="AL1" s="1">
        <v>2015</v>
      </c>
      <c r="AM1" s="1">
        <v>2016</v>
      </c>
    </row>
    <row r="2" spans="1:39" x14ac:dyDescent="0.2">
      <c r="A2" s="1" t="s">
        <v>27</v>
      </c>
      <c r="J2" s="1">
        <v>44</v>
      </c>
      <c r="K2" s="1">
        <v>49</v>
      </c>
      <c r="L2" s="1">
        <v>69</v>
      </c>
      <c r="O2" s="1">
        <v>130</v>
      </c>
      <c r="P2" s="1">
        <v>191</v>
      </c>
      <c r="Q2" s="1">
        <v>112</v>
      </c>
      <c r="R2" s="1">
        <v>259</v>
      </c>
      <c r="S2" s="1">
        <v>272</v>
      </c>
      <c r="T2" s="1">
        <v>1334</v>
      </c>
      <c r="U2" s="1">
        <v>660</v>
      </c>
      <c r="V2" s="1">
        <v>532</v>
      </c>
      <c r="W2" s="1">
        <v>131</v>
      </c>
      <c r="X2" s="1">
        <v>220</v>
      </c>
      <c r="Y2" s="1">
        <v>216</v>
      </c>
      <c r="Z2" s="1">
        <v>166</v>
      </c>
      <c r="AA2" s="1">
        <v>131</v>
      </c>
      <c r="AB2" s="1">
        <v>0</v>
      </c>
      <c r="AC2" s="1">
        <v>0</v>
      </c>
      <c r="AD2" s="1">
        <v>86</v>
      </c>
      <c r="AE2" s="1">
        <v>84</v>
      </c>
      <c r="AF2" s="1">
        <v>0</v>
      </c>
      <c r="AG2" s="1">
        <v>67</v>
      </c>
    </row>
    <row r="3" spans="1:39" x14ac:dyDescent="0.2">
      <c r="A3" s="1" t="s">
        <v>23</v>
      </c>
      <c r="D3" s="1">
        <v>59</v>
      </c>
      <c r="E3" s="1">
        <v>64</v>
      </c>
      <c r="H3" s="1">
        <v>49</v>
      </c>
      <c r="I3" s="1">
        <v>45</v>
      </c>
      <c r="J3" s="1">
        <v>62</v>
      </c>
      <c r="K3" s="1">
        <v>86</v>
      </c>
      <c r="L3" s="1">
        <v>96</v>
      </c>
      <c r="M3" s="1">
        <v>203</v>
      </c>
      <c r="N3" s="1">
        <v>250</v>
      </c>
      <c r="O3" s="1">
        <v>933</v>
      </c>
      <c r="P3" s="1">
        <v>288</v>
      </c>
      <c r="Q3" s="1">
        <v>179</v>
      </c>
      <c r="R3" s="1">
        <v>164</v>
      </c>
      <c r="S3" s="1">
        <v>114</v>
      </c>
      <c r="T3" s="1">
        <v>97</v>
      </c>
      <c r="U3" s="1">
        <v>96</v>
      </c>
      <c r="V3" s="1">
        <v>98</v>
      </c>
      <c r="W3" s="1">
        <v>88</v>
      </c>
      <c r="X3" s="1">
        <v>67</v>
      </c>
      <c r="Y3" s="1">
        <v>70</v>
      </c>
      <c r="Z3" s="1">
        <v>60</v>
      </c>
      <c r="AC3" s="1">
        <v>58</v>
      </c>
      <c r="AD3" s="1">
        <v>53</v>
      </c>
      <c r="AE3" s="1">
        <v>56</v>
      </c>
      <c r="AF3" s="1">
        <v>55</v>
      </c>
      <c r="AG3" s="1">
        <v>43</v>
      </c>
      <c r="AH3" s="1">
        <v>39</v>
      </c>
      <c r="AI3" s="1">
        <v>54</v>
      </c>
      <c r="AJ3" s="1">
        <v>34</v>
      </c>
      <c r="AK3" s="1">
        <v>34</v>
      </c>
      <c r="AL3" s="1">
        <v>38</v>
      </c>
      <c r="AM3" s="1">
        <v>34</v>
      </c>
    </row>
    <row r="4" spans="1:39" x14ac:dyDescent="0.2">
      <c r="A4" s="1" t="s">
        <v>29</v>
      </c>
      <c r="D4" s="1">
        <v>204</v>
      </c>
      <c r="E4" s="1">
        <v>190</v>
      </c>
      <c r="H4" s="1">
        <v>159</v>
      </c>
      <c r="I4" s="1">
        <v>205</v>
      </c>
      <c r="J4" s="1">
        <v>178</v>
      </c>
      <c r="K4" s="1">
        <v>232</v>
      </c>
      <c r="L4" s="1">
        <v>154</v>
      </c>
      <c r="M4" s="1">
        <v>424</v>
      </c>
      <c r="N4" s="1">
        <v>352</v>
      </c>
      <c r="O4" s="1">
        <v>3763</v>
      </c>
      <c r="P4" s="1">
        <v>3039</v>
      </c>
      <c r="Q4" s="1">
        <v>4620</v>
      </c>
      <c r="R4" s="1">
        <v>665</v>
      </c>
      <c r="S4" s="1">
        <v>541</v>
      </c>
      <c r="T4" s="1">
        <v>459</v>
      </c>
      <c r="U4" s="1">
        <v>444</v>
      </c>
      <c r="V4" s="1">
        <v>375</v>
      </c>
      <c r="W4" s="1">
        <v>247</v>
      </c>
      <c r="X4" s="1">
        <v>210</v>
      </c>
      <c r="Y4" s="1">
        <v>215</v>
      </c>
      <c r="Z4" s="1">
        <v>213</v>
      </c>
      <c r="AA4" s="1">
        <v>157</v>
      </c>
      <c r="AD4" s="1">
        <v>19</v>
      </c>
    </row>
    <row r="5" spans="1:39" x14ac:dyDescent="0.2">
      <c r="A5" s="1" t="s">
        <v>3</v>
      </c>
      <c r="D5" s="1">
        <v>470</v>
      </c>
      <c r="E5" s="1">
        <v>582</v>
      </c>
      <c r="H5" s="1">
        <v>467</v>
      </c>
      <c r="I5" s="1">
        <v>406</v>
      </c>
      <c r="J5" s="1">
        <v>451</v>
      </c>
      <c r="K5" s="1">
        <v>545</v>
      </c>
      <c r="L5" s="1">
        <v>692</v>
      </c>
      <c r="M5" s="1">
        <v>712</v>
      </c>
      <c r="N5" s="1">
        <v>663</v>
      </c>
      <c r="O5" s="1">
        <v>898</v>
      </c>
      <c r="P5" s="1">
        <v>1082</v>
      </c>
      <c r="Q5" s="1">
        <v>1092</v>
      </c>
      <c r="R5" s="1">
        <v>1215</v>
      </c>
      <c r="S5" s="1">
        <v>1128</v>
      </c>
      <c r="T5" s="1">
        <v>1215</v>
      </c>
      <c r="U5" s="1">
        <v>1236</v>
      </c>
      <c r="V5" s="1">
        <v>1123</v>
      </c>
      <c r="W5" s="1">
        <v>1139</v>
      </c>
      <c r="X5" s="1">
        <v>1120</v>
      </c>
      <c r="Y5" s="1">
        <v>1138</v>
      </c>
      <c r="Z5" s="1">
        <v>983</v>
      </c>
      <c r="AD5" s="1">
        <v>657</v>
      </c>
      <c r="AE5" s="1">
        <v>647</v>
      </c>
      <c r="AF5" s="1">
        <v>595</v>
      </c>
      <c r="AG5" s="1">
        <v>517</v>
      </c>
      <c r="AH5" s="1">
        <v>478</v>
      </c>
      <c r="AJ5" s="1">
        <v>396</v>
      </c>
      <c r="AK5" s="1">
        <v>356</v>
      </c>
    </row>
    <row r="6" spans="1:39" x14ac:dyDescent="0.2">
      <c r="A6" s="1" t="s">
        <v>25</v>
      </c>
      <c r="H6" s="1">
        <v>4</v>
      </c>
      <c r="I6" s="1">
        <v>6</v>
      </c>
      <c r="J6" s="1">
        <v>10</v>
      </c>
      <c r="K6" s="1">
        <v>3</v>
      </c>
      <c r="L6" s="1">
        <v>2</v>
      </c>
      <c r="M6" s="1">
        <v>1</v>
      </c>
      <c r="N6" s="1">
        <v>4</v>
      </c>
      <c r="AH6" s="1">
        <v>0</v>
      </c>
      <c r="AK6" s="1">
        <v>46</v>
      </c>
    </row>
    <row r="7" spans="1:39" x14ac:dyDescent="0.2">
      <c r="A7" s="1" t="s">
        <v>22</v>
      </c>
      <c r="C7" s="1">
        <v>222</v>
      </c>
      <c r="D7" s="1">
        <v>302</v>
      </c>
      <c r="E7" s="1">
        <v>291</v>
      </c>
      <c r="F7" s="1">
        <v>262</v>
      </c>
      <c r="G7" s="1">
        <v>282</v>
      </c>
      <c r="H7" s="1">
        <v>289</v>
      </c>
      <c r="I7" s="1">
        <v>258</v>
      </c>
      <c r="J7" s="1">
        <v>213</v>
      </c>
      <c r="K7" s="1">
        <v>231</v>
      </c>
      <c r="L7" s="1">
        <v>223</v>
      </c>
      <c r="M7" s="1">
        <v>292</v>
      </c>
      <c r="N7" s="1">
        <v>359</v>
      </c>
      <c r="O7" s="1">
        <v>404</v>
      </c>
      <c r="P7" s="1">
        <v>418</v>
      </c>
      <c r="Q7" s="1">
        <v>428</v>
      </c>
      <c r="R7" s="1">
        <v>398</v>
      </c>
      <c r="S7" s="1">
        <v>422</v>
      </c>
      <c r="T7" s="1">
        <v>371</v>
      </c>
      <c r="U7" s="1">
        <v>317</v>
      </c>
      <c r="V7" s="1">
        <v>238</v>
      </c>
      <c r="W7" s="1">
        <v>290</v>
      </c>
      <c r="X7" s="1">
        <v>244</v>
      </c>
      <c r="Y7" s="1">
        <v>225</v>
      </c>
      <c r="Z7" s="1">
        <v>219</v>
      </c>
      <c r="AA7" s="1">
        <v>222</v>
      </c>
      <c r="AB7" s="1">
        <v>184</v>
      </c>
      <c r="AC7" s="1">
        <v>144</v>
      </c>
      <c r="AD7" s="1">
        <v>145</v>
      </c>
      <c r="AE7" s="1">
        <v>129</v>
      </c>
      <c r="AF7" s="1">
        <v>150</v>
      </c>
      <c r="AG7" s="1">
        <v>113</v>
      </c>
      <c r="AH7" s="1">
        <v>97</v>
      </c>
      <c r="AI7" s="1">
        <v>110</v>
      </c>
      <c r="AJ7" s="1">
        <v>91</v>
      </c>
      <c r="AK7" s="1">
        <v>98</v>
      </c>
    </row>
    <row r="8" spans="1:39" x14ac:dyDescent="0.2">
      <c r="A8" s="1" t="s">
        <v>12</v>
      </c>
      <c r="H8" s="1">
        <v>115</v>
      </c>
      <c r="I8" s="1">
        <v>115</v>
      </c>
      <c r="J8" s="1">
        <v>119</v>
      </c>
      <c r="K8" s="1">
        <v>97</v>
      </c>
      <c r="L8" s="1">
        <v>107</v>
      </c>
      <c r="M8" s="1">
        <v>136</v>
      </c>
      <c r="N8" s="1">
        <v>183</v>
      </c>
      <c r="O8" s="1">
        <v>245</v>
      </c>
      <c r="P8" s="1">
        <v>228</v>
      </c>
      <c r="Q8" s="1">
        <v>158</v>
      </c>
      <c r="R8" s="1">
        <v>158</v>
      </c>
      <c r="S8" s="1">
        <v>133</v>
      </c>
      <c r="T8" s="1">
        <v>124</v>
      </c>
      <c r="U8" s="1">
        <v>146</v>
      </c>
      <c r="V8" s="1">
        <v>128</v>
      </c>
      <c r="W8" s="1">
        <v>113</v>
      </c>
      <c r="X8" s="1">
        <v>87</v>
      </c>
      <c r="Y8" s="1">
        <v>67</v>
      </c>
      <c r="Z8" s="1">
        <v>72</v>
      </c>
      <c r="AA8" s="1">
        <v>82</v>
      </c>
      <c r="AB8" s="1">
        <v>59</v>
      </c>
      <c r="AC8" s="1">
        <v>81</v>
      </c>
      <c r="AD8" s="1">
        <v>68</v>
      </c>
      <c r="AE8" s="1">
        <v>78</v>
      </c>
      <c r="AF8" s="1">
        <v>58</v>
      </c>
      <c r="AG8" s="1">
        <v>59</v>
      </c>
      <c r="AH8" s="1">
        <v>50</v>
      </c>
      <c r="AI8" s="1">
        <v>53</v>
      </c>
      <c r="AJ8" s="1">
        <v>47</v>
      </c>
      <c r="AK8" s="1">
        <v>38</v>
      </c>
      <c r="AL8" s="1">
        <v>37</v>
      </c>
      <c r="AM8" s="1">
        <v>51</v>
      </c>
    </row>
    <row r="9" spans="1:39" x14ac:dyDescent="0.2">
      <c r="A9" s="1" t="s">
        <v>5</v>
      </c>
      <c r="I9" s="1">
        <v>110</v>
      </c>
      <c r="J9" s="1">
        <v>107</v>
      </c>
      <c r="K9" s="1">
        <v>85</v>
      </c>
      <c r="L9" s="1">
        <v>103</v>
      </c>
      <c r="M9" s="1">
        <v>197</v>
      </c>
      <c r="N9" s="1">
        <v>182</v>
      </c>
      <c r="O9" s="1">
        <v>201</v>
      </c>
      <c r="P9" s="1">
        <v>222</v>
      </c>
      <c r="Q9" s="1">
        <v>235</v>
      </c>
      <c r="R9" s="1">
        <v>185</v>
      </c>
      <c r="S9" s="1">
        <v>175</v>
      </c>
      <c r="T9" s="1">
        <v>168</v>
      </c>
      <c r="U9" s="1">
        <v>168</v>
      </c>
      <c r="V9" s="1">
        <v>151</v>
      </c>
      <c r="W9" s="1">
        <v>154</v>
      </c>
      <c r="X9" s="1">
        <v>135</v>
      </c>
      <c r="Y9" s="1">
        <v>134</v>
      </c>
      <c r="Z9" s="1">
        <v>139</v>
      </c>
      <c r="AA9" s="1">
        <v>124</v>
      </c>
      <c r="AB9" s="1">
        <v>96</v>
      </c>
      <c r="AC9" s="1">
        <v>106</v>
      </c>
      <c r="AD9" s="1">
        <v>109</v>
      </c>
      <c r="AE9" s="1">
        <v>79</v>
      </c>
      <c r="AF9" s="1">
        <v>91</v>
      </c>
      <c r="AG9" s="1">
        <v>87</v>
      </c>
      <c r="AH9" s="1">
        <v>88</v>
      </c>
      <c r="AI9" s="1">
        <v>92</v>
      </c>
      <c r="AJ9" s="1">
        <v>92</v>
      </c>
      <c r="AK9" s="1">
        <v>79</v>
      </c>
      <c r="AL9" s="1">
        <v>89</v>
      </c>
      <c r="AM9" s="1">
        <v>53</v>
      </c>
    </row>
    <row r="10" spans="1:39" x14ac:dyDescent="0.2">
      <c r="A10" s="1" t="s">
        <v>13</v>
      </c>
      <c r="D10" s="1">
        <v>126</v>
      </c>
      <c r="E10" s="1">
        <v>122</v>
      </c>
      <c r="H10" s="1">
        <v>101</v>
      </c>
      <c r="I10" s="1">
        <v>92</v>
      </c>
      <c r="J10" s="1">
        <v>88</v>
      </c>
      <c r="K10" s="1">
        <v>93</v>
      </c>
      <c r="L10" s="1">
        <v>123</v>
      </c>
      <c r="M10" s="1">
        <v>174</v>
      </c>
      <c r="N10" s="1">
        <v>170</v>
      </c>
      <c r="O10" s="1">
        <v>302</v>
      </c>
      <c r="P10" s="1">
        <v>389</v>
      </c>
      <c r="Q10" s="1">
        <v>425</v>
      </c>
      <c r="R10" s="1">
        <v>328</v>
      </c>
      <c r="S10" s="1">
        <v>293</v>
      </c>
      <c r="T10" s="1">
        <v>237</v>
      </c>
      <c r="U10" s="1">
        <v>265</v>
      </c>
      <c r="V10" s="1">
        <v>227</v>
      </c>
      <c r="W10" s="1">
        <v>190</v>
      </c>
      <c r="X10" s="1">
        <v>207</v>
      </c>
      <c r="Y10" s="1">
        <v>159</v>
      </c>
      <c r="Z10" s="1">
        <v>148</v>
      </c>
      <c r="AA10" s="1">
        <v>109</v>
      </c>
      <c r="AB10" s="1">
        <v>123</v>
      </c>
      <c r="AC10" s="1">
        <v>99</v>
      </c>
      <c r="AD10" s="1">
        <v>95</v>
      </c>
      <c r="AE10" s="1">
        <v>91</v>
      </c>
      <c r="AF10" s="1">
        <v>81</v>
      </c>
      <c r="AG10" s="1">
        <v>62</v>
      </c>
      <c r="AH10" s="1">
        <v>65</v>
      </c>
      <c r="AI10" s="1">
        <v>65</v>
      </c>
      <c r="AJ10" s="1">
        <v>52</v>
      </c>
      <c r="AK10" s="1">
        <v>42</v>
      </c>
      <c r="AL10" s="1">
        <v>42</v>
      </c>
    </row>
    <row r="11" spans="1:39" x14ac:dyDescent="0.2">
      <c r="A11" s="1" t="s">
        <v>26</v>
      </c>
      <c r="D11" s="1">
        <v>158</v>
      </c>
      <c r="E11" s="1">
        <v>120</v>
      </c>
      <c r="H11" s="1">
        <v>122</v>
      </c>
      <c r="I11" s="1">
        <v>103</v>
      </c>
      <c r="J11" s="1">
        <v>136</v>
      </c>
      <c r="K11" s="1">
        <v>151</v>
      </c>
      <c r="L11" s="1">
        <v>228</v>
      </c>
      <c r="M11" s="1">
        <v>151</v>
      </c>
      <c r="N11" s="1">
        <v>74</v>
      </c>
      <c r="O11" s="1">
        <v>10</v>
      </c>
      <c r="Q11" s="1">
        <v>9</v>
      </c>
      <c r="R11" s="1">
        <v>1</v>
      </c>
      <c r="S11" s="1">
        <v>19</v>
      </c>
      <c r="T11" s="1">
        <v>76</v>
      </c>
      <c r="U11" s="1">
        <v>175</v>
      </c>
      <c r="V11" s="1">
        <v>160</v>
      </c>
      <c r="W11" s="1">
        <v>146</v>
      </c>
      <c r="X11" s="1">
        <v>178</v>
      </c>
      <c r="AA11" s="1">
        <v>112</v>
      </c>
      <c r="AB11" s="1">
        <v>59</v>
      </c>
      <c r="AC11" s="1">
        <v>54</v>
      </c>
      <c r="AD11" s="1">
        <v>49</v>
      </c>
      <c r="AF11" s="1">
        <v>29</v>
      </c>
      <c r="AG11" s="1">
        <v>15</v>
      </c>
      <c r="AH11" s="1">
        <v>18</v>
      </c>
      <c r="AI11" s="1">
        <v>37</v>
      </c>
      <c r="AJ11" s="1">
        <v>45</v>
      </c>
      <c r="AK11" s="1">
        <v>87</v>
      </c>
      <c r="AL11" s="1">
        <v>69</v>
      </c>
    </row>
    <row r="12" spans="1:39" x14ac:dyDescent="0.2">
      <c r="A12" s="1" t="s">
        <v>9</v>
      </c>
      <c r="B12" s="1">
        <v>246</v>
      </c>
      <c r="C12" s="1">
        <v>276</v>
      </c>
      <c r="D12" s="1">
        <v>272</v>
      </c>
      <c r="E12" s="1">
        <v>258</v>
      </c>
      <c r="F12" s="1">
        <v>262</v>
      </c>
      <c r="G12" s="1">
        <v>278</v>
      </c>
      <c r="H12" s="1">
        <v>283</v>
      </c>
      <c r="I12" s="1">
        <v>299</v>
      </c>
      <c r="J12" s="1">
        <v>266</v>
      </c>
      <c r="K12" s="1">
        <v>283</v>
      </c>
      <c r="L12" s="1">
        <v>308</v>
      </c>
      <c r="M12" s="1">
        <v>322</v>
      </c>
      <c r="N12" s="1">
        <v>418</v>
      </c>
      <c r="O12" s="1">
        <v>414</v>
      </c>
      <c r="P12" s="1">
        <v>421</v>
      </c>
      <c r="Q12" s="1">
        <v>362</v>
      </c>
      <c r="R12" s="1">
        <v>360</v>
      </c>
      <c r="S12" s="1">
        <v>325</v>
      </c>
      <c r="T12" s="1">
        <v>344</v>
      </c>
      <c r="U12" s="1">
        <v>326</v>
      </c>
      <c r="V12" s="1">
        <v>291</v>
      </c>
      <c r="W12" s="1">
        <v>258</v>
      </c>
      <c r="X12" s="1">
        <v>248</v>
      </c>
      <c r="Y12" s="1">
        <v>240</v>
      </c>
      <c r="Z12" s="1">
        <v>198</v>
      </c>
      <c r="AA12" s="1">
        <v>219</v>
      </c>
      <c r="AB12" s="1">
        <v>194</v>
      </c>
      <c r="AC12" s="1">
        <v>191</v>
      </c>
      <c r="AD12" s="1">
        <v>172</v>
      </c>
      <c r="AE12" s="1">
        <v>203</v>
      </c>
      <c r="AF12" s="1">
        <v>148</v>
      </c>
      <c r="AG12" s="1">
        <v>152</v>
      </c>
      <c r="AH12" s="1">
        <v>160</v>
      </c>
      <c r="AI12" s="1">
        <v>143</v>
      </c>
      <c r="AJ12" s="1">
        <v>126</v>
      </c>
      <c r="AK12" s="1">
        <v>92</v>
      </c>
      <c r="AL12" s="1">
        <v>123</v>
      </c>
      <c r="AM12" s="1">
        <v>100</v>
      </c>
    </row>
    <row r="13" spans="1:39" x14ac:dyDescent="0.2">
      <c r="A13" s="1" t="s">
        <v>7</v>
      </c>
      <c r="D13" s="1">
        <v>1489</v>
      </c>
      <c r="E13" s="1">
        <v>1440</v>
      </c>
      <c r="H13" s="1">
        <v>1245</v>
      </c>
      <c r="I13" s="1">
        <v>907</v>
      </c>
      <c r="J13" s="1">
        <v>1046</v>
      </c>
      <c r="K13" s="1">
        <v>1164</v>
      </c>
      <c r="L13" s="1">
        <v>1673</v>
      </c>
      <c r="M13" s="1">
        <v>1970</v>
      </c>
      <c r="N13" s="1">
        <v>2045</v>
      </c>
      <c r="O13" s="1">
        <v>2448</v>
      </c>
      <c r="P13" s="1">
        <v>2986</v>
      </c>
      <c r="Q13" s="1">
        <v>2985</v>
      </c>
      <c r="R13" s="1">
        <v>3214</v>
      </c>
      <c r="S13" s="1">
        <v>2986</v>
      </c>
      <c r="T13" s="1">
        <v>2818</v>
      </c>
      <c r="U13" s="1">
        <v>2724</v>
      </c>
      <c r="V13" s="1">
        <v>2448</v>
      </c>
      <c r="W13" s="1">
        <v>2475</v>
      </c>
      <c r="X13" s="1">
        <v>2306</v>
      </c>
      <c r="Y13" s="1">
        <v>1962</v>
      </c>
      <c r="Z13" s="1">
        <v>2211</v>
      </c>
      <c r="AA13" s="1">
        <v>2413</v>
      </c>
      <c r="AB13" s="1">
        <v>2177</v>
      </c>
      <c r="AC13" s="1">
        <v>2032</v>
      </c>
      <c r="AD13" s="1">
        <v>1957</v>
      </c>
      <c r="AE13" s="1">
        <v>1791</v>
      </c>
      <c r="AF13" s="1">
        <v>1543</v>
      </c>
      <c r="AG13" s="1">
        <v>1464</v>
      </c>
      <c r="AH13" s="1">
        <v>1525</v>
      </c>
      <c r="AI13" s="1">
        <v>1400</v>
      </c>
      <c r="AJ13" s="1">
        <v>1080</v>
      </c>
      <c r="AK13" s="1">
        <v>1022</v>
      </c>
      <c r="AL13" s="1">
        <v>1046</v>
      </c>
    </row>
    <row r="14" spans="1:39" x14ac:dyDescent="0.2">
      <c r="A14" s="1" t="s">
        <v>54</v>
      </c>
      <c r="D14" s="1">
        <v>276</v>
      </c>
      <c r="E14" s="1">
        <v>248</v>
      </c>
      <c r="H14" s="1">
        <v>203</v>
      </c>
      <c r="I14" s="1">
        <v>120</v>
      </c>
      <c r="J14" s="1">
        <v>169</v>
      </c>
      <c r="K14" s="1">
        <v>205</v>
      </c>
      <c r="L14" s="1">
        <v>308</v>
      </c>
      <c r="M14" s="1">
        <v>612</v>
      </c>
      <c r="N14" s="1">
        <v>397</v>
      </c>
      <c r="O14" s="1">
        <v>511</v>
      </c>
      <c r="P14" s="1">
        <v>568</v>
      </c>
      <c r="Q14" s="1">
        <v>611</v>
      </c>
      <c r="R14" s="1">
        <v>545</v>
      </c>
      <c r="S14" s="1">
        <v>500</v>
      </c>
      <c r="T14" s="1">
        <v>395</v>
      </c>
      <c r="U14" s="1">
        <v>351</v>
      </c>
      <c r="V14" s="1">
        <v>341</v>
      </c>
      <c r="W14" s="1">
        <v>387</v>
      </c>
      <c r="X14" s="1">
        <v>331</v>
      </c>
      <c r="Y14" s="1">
        <v>334</v>
      </c>
      <c r="Z14" s="1">
        <v>309</v>
      </c>
      <c r="AA14" s="1">
        <v>326</v>
      </c>
      <c r="AB14" s="1">
        <v>378</v>
      </c>
      <c r="AC14" s="1">
        <v>337</v>
      </c>
      <c r="AD14" s="1">
        <v>312</v>
      </c>
      <c r="AE14" s="1">
        <v>291</v>
      </c>
      <c r="AF14" s="1">
        <v>332</v>
      </c>
      <c r="AG14" s="1">
        <v>337</v>
      </c>
      <c r="AH14" s="1">
        <v>303</v>
      </c>
      <c r="AI14" s="1">
        <v>248</v>
      </c>
      <c r="AJ14" s="1">
        <v>217</v>
      </c>
      <c r="AK14" s="1">
        <v>205</v>
      </c>
      <c r="AL14" s="1">
        <v>213</v>
      </c>
    </row>
    <row r="15" spans="1:39" x14ac:dyDescent="0.2">
      <c r="A15" s="1" t="s">
        <v>20</v>
      </c>
      <c r="C15" s="1">
        <v>148</v>
      </c>
      <c r="D15" s="1">
        <v>178</v>
      </c>
      <c r="E15" s="1">
        <v>153</v>
      </c>
      <c r="F15" s="1">
        <v>168</v>
      </c>
      <c r="G15" s="1">
        <v>156</v>
      </c>
      <c r="H15" s="1">
        <v>137</v>
      </c>
      <c r="I15" s="1">
        <v>112</v>
      </c>
      <c r="J15" s="1">
        <v>115</v>
      </c>
      <c r="K15" s="1">
        <v>156</v>
      </c>
      <c r="L15" s="1">
        <v>234</v>
      </c>
      <c r="M15" s="1">
        <v>245</v>
      </c>
      <c r="N15" s="1">
        <v>307</v>
      </c>
      <c r="O15" s="1">
        <v>420</v>
      </c>
      <c r="P15" s="1">
        <v>638</v>
      </c>
      <c r="Q15" s="1">
        <v>585</v>
      </c>
      <c r="R15" s="1">
        <v>457</v>
      </c>
      <c r="S15" s="1">
        <v>382</v>
      </c>
      <c r="T15" s="1">
        <v>394</v>
      </c>
      <c r="U15" s="1">
        <v>316</v>
      </c>
      <c r="V15" s="1">
        <v>308</v>
      </c>
      <c r="W15" s="1">
        <v>297</v>
      </c>
      <c r="X15" s="1">
        <v>290</v>
      </c>
      <c r="Y15" s="1">
        <v>266</v>
      </c>
      <c r="Z15" s="1">
        <v>247</v>
      </c>
      <c r="AA15" s="1">
        <v>217</v>
      </c>
      <c r="AB15" s="1">
        <v>230</v>
      </c>
      <c r="AC15" s="1">
        <v>218</v>
      </c>
      <c r="AD15" s="1">
        <v>190</v>
      </c>
      <c r="AE15" s="1">
        <v>172</v>
      </c>
      <c r="AF15" s="1">
        <v>143</v>
      </c>
      <c r="AG15" s="1">
        <v>139</v>
      </c>
      <c r="AH15" s="1">
        <v>130</v>
      </c>
      <c r="AI15" s="1">
        <v>129</v>
      </c>
      <c r="AJ15" s="1">
        <v>120</v>
      </c>
      <c r="AK15" s="1">
        <v>138</v>
      </c>
      <c r="AL15" s="1">
        <v>100</v>
      </c>
    </row>
    <row r="16" spans="1:39" x14ac:dyDescent="0.2">
      <c r="A16" s="1" t="s">
        <v>21</v>
      </c>
      <c r="D16" s="1">
        <v>230</v>
      </c>
      <c r="E16" s="1">
        <v>225</v>
      </c>
      <c r="H16" s="1">
        <v>214</v>
      </c>
      <c r="I16" s="1">
        <v>177</v>
      </c>
      <c r="J16" s="1">
        <v>139</v>
      </c>
      <c r="K16" s="1">
        <v>169</v>
      </c>
      <c r="L16" s="1">
        <v>212</v>
      </c>
      <c r="M16" s="1">
        <v>281</v>
      </c>
      <c r="N16" s="1">
        <v>339</v>
      </c>
      <c r="O16" s="1">
        <v>394</v>
      </c>
      <c r="P16" s="1">
        <v>465</v>
      </c>
      <c r="Q16" s="1">
        <v>497</v>
      </c>
      <c r="R16" s="1">
        <v>434</v>
      </c>
      <c r="S16" s="1">
        <v>344</v>
      </c>
      <c r="T16" s="1">
        <v>336</v>
      </c>
      <c r="U16" s="1">
        <v>303</v>
      </c>
      <c r="V16" s="1">
        <v>297</v>
      </c>
      <c r="W16" s="1">
        <v>345</v>
      </c>
      <c r="X16" s="1">
        <v>356</v>
      </c>
      <c r="Y16" s="1">
        <v>248</v>
      </c>
      <c r="Z16" s="1">
        <v>332</v>
      </c>
      <c r="AA16" s="1">
        <v>293</v>
      </c>
      <c r="AB16" s="1">
        <v>314</v>
      </c>
      <c r="AC16" s="1">
        <v>255</v>
      </c>
      <c r="AD16" s="1">
        <v>242</v>
      </c>
      <c r="AE16" s="1">
        <v>248</v>
      </c>
      <c r="AF16" s="1">
        <v>199</v>
      </c>
      <c r="AG16" s="1">
        <v>172</v>
      </c>
      <c r="AH16" s="1">
        <v>158</v>
      </c>
      <c r="AI16" s="1">
        <v>135</v>
      </c>
      <c r="AJ16" s="1">
        <v>144</v>
      </c>
      <c r="AK16" s="1">
        <v>112</v>
      </c>
      <c r="AL16" s="1">
        <v>121</v>
      </c>
      <c r="AM16" s="1">
        <v>100</v>
      </c>
    </row>
    <row r="17" spans="1:39" x14ac:dyDescent="0.2">
      <c r="A17" s="1" t="s">
        <v>55</v>
      </c>
      <c r="N17" s="1">
        <v>28</v>
      </c>
      <c r="O17" s="1">
        <v>37</v>
      </c>
      <c r="P17" s="1">
        <v>40</v>
      </c>
      <c r="Q17" s="1">
        <v>35</v>
      </c>
      <c r="R17" s="1">
        <v>32</v>
      </c>
      <c r="S17" s="1">
        <v>48</v>
      </c>
      <c r="T17" s="1">
        <v>47</v>
      </c>
      <c r="U17" s="1">
        <v>45</v>
      </c>
      <c r="V17" s="1">
        <v>53</v>
      </c>
      <c r="W17" s="1">
        <v>61</v>
      </c>
      <c r="X17" s="1">
        <v>131</v>
      </c>
      <c r="Y17" s="1">
        <v>69</v>
      </c>
      <c r="Z17" s="1">
        <v>66</v>
      </c>
      <c r="AA17" s="1">
        <v>56</v>
      </c>
      <c r="AB17" s="1">
        <v>52</v>
      </c>
      <c r="AC17" s="1">
        <v>52</v>
      </c>
      <c r="AD17" s="1">
        <v>48</v>
      </c>
      <c r="AE17" s="1">
        <v>40</v>
      </c>
      <c r="AF17" s="1">
        <v>29</v>
      </c>
      <c r="AG17" s="1">
        <v>44</v>
      </c>
      <c r="AH17" s="1">
        <v>29</v>
      </c>
      <c r="AI17" s="1">
        <v>34</v>
      </c>
      <c r="AJ17" s="1">
        <v>18</v>
      </c>
    </row>
    <row r="18" spans="1:39" x14ac:dyDescent="0.2">
      <c r="A18" s="1" t="s">
        <v>16</v>
      </c>
      <c r="D18" s="1">
        <v>381</v>
      </c>
      <c r="E18" s="1">
        <v>379</v>
      </c>
      <c r="H18" s="1">
        <v>323</v>
      </c>
      <c r="I18" s="1">
        <v>255</v>
      </c>
      <c r="J18" s="1">
        <v>245</v>
      </c>
      <c r="K18" s="1">
        <v>330</v>
      </c>
      <c r="L18" s="1">
        <v>367</v>
      </c>
      <c r="M18" s="1">
        <v>396</v>
      </c>
      <c r="N18" s="1">
        <v>389</v>
      </c>
      <c r="O18" s="1">
        <v>601</v>
      </c>
      <c r="P18" s="1">
        <v>548</v>
      </c>
      <c r="Q18" s="1">
        <v>626</v>
      </c>
      <c r="R18" s="1">
        <v>719</v>
      </c>
      <c r="S18" s="1">
        <v>589</v>
      </c>
      <c r="T18" s="1">
        <v>479</v>
      </c>
      <c r="U18" s="1">
        <v>414</v>
      </c>
      <c r="V18" s="1">
        <v>410</v>
      </c>
      <c r="W18" s="1">
        <v>432</v>
      </c>
      <c r="X18" s="1">
        <v>407</v>
      </c>
      <c r="Y18" s="1">
        <v>374</v>
      </c>
      <c r="Z18" s="1">
        <v>336</v>
      </c>
      <c r="AA18" s="1">
        <v>270</v>
      </c>
      <c r="AB18" s="1">
        <v>295</v>
      </c>
      <c r="AC18" s="1">
        <v>263</v>
      </c>
      <c r="AD18" s="1">
        <v>246</v>
      </c>
      <c r="AE18" s="1">
        <v>262</v>
      </c>
      <c r="AF18" s="1">
        <v>231</v>
      </c>
      <c r="AG18" s="1">
        <v>248</v>
      </c>
      <c r="AH18" s="1">
        <v>196</v>
      </c>
      <c r="AI18" s="1">
        <v>207</v>
      </c>
      <c r="AJ18" s="1">
        <v>236</v>
      </c>
      <c r="AK18" s="1">
        <v>184</v>
      </c>
      <c r="AL18" s="1">
        <v>176</v>
      </c>
      <c r="AM18" s="1">
        <v>175</v>
      </c>
    </row>
    <row r="19" spans="1:39" x14ac:dyDescent="0.2">
      <c r="A19" s="1" t="s">
        <v>24</v>
      </c>
      <c r="W19" s="1">
        <v>0</v>
      </c>
      <c r="X19" s="1">
        <v>0</v>
      </c>
      <c r="Y19" s="1">
        <v>0</v>
      </c>
      <c r="Z19" s="1">
        <v>0</v>
      </c>
      <c r="AA19" s="1">
        <v>0</v>
      </c>
      <c r="AB19" s="1">
        <v>24</v>
      </c>
      <c r="AC19" s="1">
        <v>0</v>
      </c>
      <c r="AD19" s="1">
        <v>5</v>
      </c>
      <c r="AE19" s="1">
        <v>15</v>
      </c>
      <c r="AF19" s="1">
        <v>14</v>
      </c>
    </row>
    <row r="20" spans="1:39" x14ac:dyDescent="0.2">
      <c r="A20" s="1" t="s">
        <v>11</v>
      </c>
      <c r="F20" s="1">
        <v>540</v>
      </c>
      <c r="G20" s="1">
        <v>667</v>
      </c>
      <c r="H20" s="1">
        <v>584</v>
      </c>
      <c r="I20" s="1">
        <v>595</v>
      </c>
      <c r="J20" s="1">
        <v>644</v>
      </c>
      <c r="K20" s="1">
        <v>663</v>
      </c>
      <c r="L20" s="1">
        <v>782</v>
      </c>
      <c r="M20" s="1">
        <v>1122</v>
      </c>
      <c r="N20" s="1">
        <v>1099</v>
      </c>
      <c r="O20" s="1">
        <v>1126</v>
      </c>
      <c r="P20" s="1">
        <v>1038</v>
      </c>
      <c r="Q20" s="1">
        <v>1148</v>
      </c>
      <c r="R20" s="1">
        <v>1088</v>
      </c>
      <c r="S20" s="1">
        <v>1016</v>
      </c>
      <c r="V20" s="1">
        <v>900</v>
      </c>
      <c r="W20" s="1">
        <v>800</v>
      </c>
      <c r="X20" s="1">
        <v>664</v>
      </c>
      <c r="Y20" s="1">
        <v>680</v>
      </c>
      <c r="Z20" s="1">
        <v>597</v>
      </c>
      <c r="AA20" s="1">
        <v>576</v>
      </c>
      <c r="AB20" s="1">
        <v>558</v>
      </c>
      <c r="AC20" s="1">
        <v>570</v>
      </c>
      <c r="AD20" s="1">
        <v>522</v>
      </c>
      <c r="AE20" s="1">
        <v>486</v>
      </c>
      <c r="AF20" s="1">
        <v>414</v>
      </c>
      <c r="AG20" s="1">
        <v>354</v>
      </c>
      <c r="AH20" s="1">
        <v>410</v>
      </c>
      <c r="AI20" s="1">
        <v>373</v>
      </c>
      <c r="AJ20" s="1">
        <v>424</v>
      </c>
      <c r="AK20" s="1">
        <v>336</v>
      </c>
      <c r="AL20" s="1">
        <v>293</v>
      </c>
    </row>
    <row r="21" spans="1:39" x14ac:dyDescent="0.2">
      <c r="A21" s="1" t="s">
        <v>17</v>
      </c>
      <c r="L21" s="1">
        <v>895</v>
      </c>
      <c r="M21" s="1">
        <v>1229</v>
      </c>
      <c r="N21" s="1">
        <v>1051</v>
      </c>
      <c r="O21" s="1">
        <v>1126</v>
      </c>
      <c r="P21" s="1">
        <v>978</v>
      </c>
      <c r="Q21" s="1">
        <v>1008</v>
      </c>
      <c r="R21" s="1">
        <v>941</v>
      </c>
      <c r="S21" s="1">
        <v>851</v>
      </c>
      <c r="T21" s="1">
        <v>861</v>
      </c>
      <c r="U21" s="1">
        <v>754</v>
      </c>
      <c r="V21" s="1">
        <v>803</v>
      </c>
      <c r="W21" s="1">
        <v>813</v>
      </c>
      <c r="X21" s="1">
        <v>782</v>
      </c>
      <c r="Y21" s="1">
        <v>804</v>
      </c>
      <c r="Z21" s="1">
        <v>841</v>
      </c>
      <c r="AA21" s="1">
        <v>692</v>
      </c>
      <c r="AB21" s="1">
        <v>559</v>
      </c>
      <c r="AC21" s="1">
        <v>496</v>
      </c>
      <c r="AD21" s="1">
        <v>447</v>
      </c>
      <c r="AE21" s="1">
        <v>527</v>
      </c>
      <c r="AF21" s="1">
        <v>504</v>
      </c>
      <c r="AG21" s="1">
        <v>514</v>
      </c>
      <c r="AH21" s="1">
        <v>421</v>
      </c>
      <c r="AI21" s="1">
        <v>437</v>
      </c>
      <c r="AJ21" s="1">
        <v>368</v>
      </c>
      <c r="AK21" s="1">
        <v>363</v>
      </c>
      <c r="AL21" s="1">
        <v>301</v>
      </c>
      <c r="AM21" s="1">
        <v>303</v>
      </c>
    </row>
    <row r="22" spans="1:39" x14ac:dyDescent="0.2">
      <c r="A22" s="1" t="s">
        <v>38</v>
      </c>
      <c r="C22" s="1">
        <v>17838</v>
      </c>
      <c r="D22" s="1">
        <v>17944</v>
      </c>
      <c r="E22" s="1">
        <v>17599</v>
      </c>
      <c r="H22" s="1">
        <v>14986</v>
      </c>
      <c r="I22" s="1">
        <v>10648</v>
      </c>
      <c r="J22" s="1">
        <v>11329</v>
      </c>
      <c r="K22" s="1">
        <v>14290</v>
      </c>
      <c r="L22" s="1">
        <v>18527</v>
      </c>
      <c r="M22" s="1">
        <v>21145</v>
      </c>
      <c r="N22" s="1">
        <v>22621</v>
      </c>
      <c r="O22" s="1">
        <v>33912</v>
      </c>
      <c r="P22" s="1">
        <v>45060</v>
      </c>
      <c r="Q22" s="1">
        <v>47870</v>
      </c>
      <c r="R22" s="1">
        <v>45257</v>
      </c>
      <c r="S22" s="1">
        <v>39083</v>
      </c>
      <c r="T22" s="1">
        <v>34995</v>
      </c>
      <c r="U22" s="1">
        <v>33553</v>
      </c>
      <c r="V22" s="1">
        <v>38225</v>
      </c>
      <c r="W22" s="1">
        <v>41090</v>
      </c>
      <c r="X22" s="1">
        <v>42921</v>
      </c>
      <c r="Y22" s="1">
        <v>44252</v>
      </c>
      <c r="Z22" s="1">
        <v>41764</v>
      </c>
      <c r="AA22" s="1">
        <v>39256</v>
      </c>
      <c r="AB22" s="1">
        <v>35636</v>
      </c>
      <c r="AC22" s="1">
        <v>28844</v>
      </c>
      <c r="AD22" s="1">
        <v>25377</v>
      </c>
      <c r="AE22" s="1">
        <v>23738</v>
      </c>
      <c r="AF22" s="1">
        <v>21371</v>
      </c>
      <c r="AG22" s="1">
        <v>18951</v>
      </c>
      <c r="AH22" s="1">
        <v>16795</v>
      </c>
      <c r="AI22" s="1">
        <v>15408</v>
      </c>
      <c r="AJ22" s="1">
        <v>14427</v>
      </c>
      <c r="AK22" s="1">
        <v>12921</v>
      </c>
      <c r="AL22" s="1">
        <v>11984</v>
      </c>
    </row>
    <row r="23" spans="1:39" x14ac:dyDescent="0.2">
      <c r="A23" s="1" t="s">
        <v>19</v>
      </c>
      <c r="U23" s="1">
        <v>261</v>
      </c>
      <c r="V23" s="1">
        <v>243</v>
      </c>
      <c r="W23" s="1">
        <v>202</v>
      </c>
      <c r="X23" s="1">
        <v>218</v>
      </c>
      <c r="Y23" s="1">
        <v>164</v>
      </c>
      <c r="Z23" s="1">
        <v>178</v>
      </c>
      <c r="AA23" s="1">
        <v>138</v>
      </c>
      <c r="AB23" s="1">
        <v>162</v>
      </c>
      <c r="AC23" s="1">
        <v>154</v>
      </c>
      <c r="AD23" s="1">
        <v>200</v>
      </c>
      <c r="AE23" s="1">
        <v>142</v>
      </c>
      <c r="AF23" s="1">
        <v>140</v>
      </c>
      <c r="AG23" s="1">
        <v>130</v>
      </c>
      <c r="AH23" s="1">
        <v>130</v>
      </c>
      <c r="AI23" s="1">
        <v>118</v>
      </c>
      <c r="AJ23" s="1">
        <v>152</v>
      </c>
      <c r="AK23" s="1">
        <v>114</v>
      </c>
      <c r="AL23" s="1">
        <v>102</v>
      </c>
    </row>
    <row r="24" spans="1:39" x14ac:dyDescent="0.2">
      <c r="A24" s="1" t="s">
        <v>56</v>
      </c>
      <c r="O24" s="1">
        <v>128</v>
      </c>
      <c r="P24" s="1">
        <v>128</v>
      </c>
      <c r="Q24" s="1">
        <v>121</v>
      </c>
      <c r="R24" s="1">
        <v>114</v>
      </c>
      <c r="S24" s="1">
        <v>108</v>
      </c>
      <c r="T24" s="1">
        <v>138</v>
      </c>
      <c r="U24" s="1">
        <v>115</v>
      </c>
      <c r="V24" s="1">
        <v>132</v>
      </c>
      <c r="W24" s="1">
        <v>118</v>
      </c>
      <c r="X24" s="1">
        <v>111</v>
      </c>
      <c r="Y24" s="1">
        <v>118</v>
      </c>
      <c r="Z24" s="1">
        <v>103</v>
      </c>
      <c r="AA24" s="1">
        <v>95</v>
      </c>
      <c r="AB24" s="1">
        <v>89</v>
      </c>
      <c r="AC24" s="1">
        <v>0</v>
      </c>
      <c r="AD24" s="1">
        <v>0</v>
      </c>
      <c r="AE24" s="1">
        <v>69</v>
      </c>
      <c r="AF24" s="1">
        <v>62</v>
      </c>
      <c r="AG24" s="1">
        <v>65</v>
      </c>
      <c r="AI24" s="1">
        <v>57</v>
      </c>
      <c r="AJ24" s="1">
        <v>67</v>
      </c>
      <c r="AK24" s="1">
        <v>47</v>
      </c>
    </row>
    <row r="25" spans="1:39" x14ac:dyDescent="0.2">
      <c r="A25" s="1" t="s">
        <v>6</v>
      </c>
      <c r="H25" s="1">
        <v>41</v>
      </c>
      <c r="I25" s="1">
        <v>33</v>
      </c>
      <c r="J25" s="1">
        <v>30</v>
      </c>
      <c r="K25" s="1">
        <v>31</v>
      </c>
      <c r="L25" s="1">
        <v>47</v>
      </c>
      <c r="M25" s="1">
        <v>41</v>
      </c>
      <c r="N25" s="1">
        <v>50</v>
      </c>
      <c r="O25" s="1">
        <v>47</v>
      </c>
      <c r="P25" s="1">
        <v>27</v>
      </c>
      <c r="Q25" s="1">
        <v>40</v>
      </c>
      <c r="R25" s="1">
        <v>47</v>
      </c>
      <c r="S25" s="1">
        <v>42</v>
      </c>
      <c r="T25" s="1">
        <v>46</v>
      </c>
      <c r="U25" s="1">
        <v>20</v>
      </c>
      <c r="V25" s="1">
        <v>30</v>
      </c>
      <c r="W25" s="1">
        <v>22</v>
      </c>
      <c r="X25" s="1">
        <v>16</v>
      </c>
      <c r="Y25" s="1">
        <v>28</v>
      </c>
      <c r="Z25" s="1">
        <v>27</v>
      </c>
      <c r="AA25" s="1">
        <v>38</v>
      </c>
      <c r="AB25" s="1">
        <v>23</v>
      </c>
      <c r="AC25" s="1">
        <v>13</v>
      </c>
      <c r="AD25" s="1">
        <v>21</v>
      </c>
      <c r="AE25" s="1">
        <v>13</v>
      </c>
      <c r="AF25" s="1">
        <v>11</v>
      </c>
      <c r="AG25" s="1">
        <v>10</v>
      </c>
      <c r="AH25" s="1">
        <v>19</v>
      </c>
      <c r="AI25" s="1">
        <v>16</v>
      </c>
      <c r="AJ25" s="1">
        <v>21</v>
      </c>
      <c r="AK25" s="1">
        <v>20</v>
      </c>
      <c r="AL25" s="1">
        <v>13</v>
      </c>
    </row>
    <row r="26" spans="1:39" x14ac:dyDescent="0.2">
      <c r="A26" s="1" t="s">
        <v>28</v>
      </c>
      <c r="D26" s="1">
        <v>102</v>
      </c>
      <c r="E26" s="1">
        <v>125</v>
      </c>
      <c r="H26" s="1">
        <v>93</v>
      </c>
      <c r="I26" s="1">
        <v>49</v>
      </c>
      <c r="J26" s="1">
        <v>65</v>
      </c>
      <c r="K26" s="1">
        <v>94</v>
      </c>
      <c r="L26" s="1">
        <v>118</v>
      </c>
      <c r="M26" s="1">
        <v>123</v>
      </c>
      <c r="N26" s="1">
        <v>127</v>
      </c>
      <c r="O26" s="1">
        <v>581</v>
      </c>
      <c r="P26" s="1">
        <v>2789</v>
      </c>
      <c r="Q26" s="1">
        <v>591</v>
      </c>
      <c r="R26" s="1">
        <v>354</v>
      </c>
      <c r="S26" s="1">
        <v>650</v>
      </c>
      <c r="T26" s="1">
        <v>578</v>
      </c>
      <c r="U26" s="1">
        <v>507</v>
      </c>
      <c r="V26" s="1">
        <v>372</v>
      </c>
      <c r="W26" s="1">
        <v>187</v>
      </c>
      <c r="X26" s="1">
        <v>156</v>
      </c>
      <c r="Y26" s="1">
        <v>215</v>
      </c>
      <c r="Z26" s="1">
        <v>185</v>
      </c>
      <c r="AA26" s="1">
        <v>151</v>
      </c>
      <c r="AB26" s="1">
        <v>123</v>
      </c>
      <c r="AM26" s="1">
        <v>77</v>
      </c>
    </row>
    <row r="27" spans="1:39" x14ac:dyDescent="0.2">
      <c r="A27" s="1" t="s">
        <v>32</v>
      </c>
      <c r="D27" s="1">
        <v>196</v>
      </c>
      <c r="E27" s="1">
        <v>151</v>
      </c>
      <c r="H27" s="1">
        <v>143</v>
      </c>
      <c r="I27" s="1">
        <v>127</v>
      </c>
      <c r="J27" s="1">
        <v>113</v>
      </c>
      <c r="K27" s="1">
        <v>195</v>
      </c>
      <c r="L27" s="1">
        <v>228</v>
      </c>
      <c r="M27" s="1">
        <v>245</v>
      </c>
      <c r="N27" s="1">
        <v>195</v>
      </c>
      <c r="O27" s="1">
        <v>197</v>
      </c>
      <c r="P27" s="1">
        <v>216</v>
      </c>
      <c r="Q27" s="1">
        <v>177</v>
      </c>
      <c r="R27" s="1">
        <v>162</v>
      </c>
      <c r="S27" s="1">
        <v>257</v>
      </c>
      <c r="T27" s="1">
        <v>236</v>
      </c>
      <c r="U27" s="1">
        <v>333</v>
      </c>
      <c r="V27" s="1">
        <v>243</v>
      </c>
      <c r="W27" s="1">
        <v>123</v>
      </c>
      <c r="X27" s="1">
        <v>145</v>
      </c>
      <c r="Y27" s="1">
        <v>149</v>
      </c>
      <c r="Z27" s="1">
        <v>133</v>
      </c>
      <c r="AA27" s="1">
        <v>120</v>
      </c>
      <c r="AB27" s="1">
        <v>111</v>
      </c>
      <c r="AC27" s="1">
        <v>90</v>
      </c>
      <c r="AD27" s="1">
        <v>101</v>
      </c>
      <c r="AE27" s="1">
        <v>180</v>
      </c>
      <c r="AF27" s="1">
        <v>82</v>
      </c>
      <c r="AG27" s="1">
        <v>105</v>
      </c>
      <c r="AH27" s="1">
        <v>100</v>
      </c>
      <c r="AI27" s="1">
        <v>79</v>
      </c>
      <c r="AJ27" s="1">
        <v>84</v>
      </c>
      <c r="AK27" s="1">
        <v>89</v>
      </c>
      <c r="AL27" s="1">
        <v>63</v>
      </c>
    </row>
    <row r="28" spans="1:39" x14ac:dyDescent="0.2">
      <c r="A28" s="1" t="s">
        <v>8</v>
      </c>
      <c r="D28" s="1">
        <v>3124</v>
      </c>
      <c r="E28" s="1">
        <v>3170</v>
      </c>
      <c r="H28" s="1">
        <v>2515</v>
      </c>
      <c r="I28" s="1">
        <v>2118</v>
      </c>
      <c r="J28" s="1">
        <v>2374</v>
      </c>
      <c r="K28" s="1">
        <v>2793</v>
      </c>
      <c r="L28" s="1">
        <v>3711</v>
      </c>
      <c r="M28" s="1">
        <v>4141</v>
      </c>
      <c r="N28" s="1">
        <v>4518</v>
      </c>
      <c r="O28" s="1">
        <v>5911</v>
      </c>
      <c r="P28" s="1">
        <v>6157</v>
      </c>
      <c r="Q28" s="1">
        <v>7100</v>
      </c>
      <c r="R28" s="1">
        <v>7655</v>
      </c>
      <c r="S28" s="1">
        <v>7646</v>
      </c>
      <c r="T28" s="1">
        <v>6585</v>
      </c>
      <c r="U28" s="1">
        <v>6109</v>
      </c>
      <c r="V28" s="1">
        <v>6260</v>
      </c>
      <c r="W28" s="1">
        <v>6458</v>
      </c>
      <c r="X28" s="1">
        <v>6175</v>
      </c>
      <c r="Y28" s="1">
        <v>5709</v>
      </c>
      <c r="Z28" s="1">
        <v>5267</v>
      </c>
      <c r="AA28" s="1">
        <v>4989</v>
      </c>
      <c r="AB28" s="1">
        <v>4541</v>
      </c>
      <c r="AC28" s="1">
        <v>4177</v>
      </c>
      <c r="AD28" s="1">
        <v>4229</v>
      </c>
      <c r="AE28" s="1">
        <v>3794</v>
      </c>
      <c r="AF28" s="1">
        <v>3088</v>
      </c>
      <c r="AG28" s="1">
        <v>2768</v>
      </c>
      <c r="AH28" s="1">
        <v>2538</v>
      </c>
      <c r="AI28" s="1">
        <v>2336</v>
      </c>
      <c r="AK28" s="1">
        <v>2845</v>
      </c>
      <c r="AL28" s="1">
        <v>2111</v>
      </c>
    </row>
    <row r="29" spans="1:39" x14ac:dyDescent="0.2">
      <c r="A29" s="1" t="s">
        <v>33</v>
      </c>
      <c r="D29" s="1">
        <v>736</v>
      </c>
      <c r="E29" s="1">
        <v>753</v>
      </c>
      <c r="H29" s="1">
        <v>648</v>
      </c>
      <c r="I29" s="1">
        <v>562</v>
      </c>
      <c r="J29" s="1">
        <v>508</v>
      </c>
      <c r="K29" s="1">
        <v>738</v>
      </c>
      <c r="L29" s="1">
        <v>1118</v>
      </c>
      <c r="M29" s="1">
        <v>1245</v>
      </c>
      <c r="N29" s="1">
        <v>1147</v>
      </c>
      <c r="O29" s="1">
        <v>1120</v>
      </c>
      <c r="P29" s="1">
        <v>934</v>
      </c>
      <c r="Q29" s="1">
        <v>975</v>
      </c>
      <c r="R29" s="1">
        <v>1041</v>
      </c>
      <c r="S29" s="1">
        <v>1050</v>
      </c>
      <c r="T29" s="1">
        <v>836</v>
      </c>
      <c r="U29" s="1">
        <v>790</v>
      </c>
      <c r="V29" s="1">
        <v>700</v>
      </c>
      <c r="W29" s="1">
        <v>771</v>
      </c>
      <c r="X29" s="1">
        <v>753</v>
      </c>
      <c r="Y29" s="1">
        <v>743</v>
      </c>
      <c r="Z29" s="1">
        <v>528</v>
      </c>
      <c r="AA29" s="1">
        <v>629</v>
      </c>
      <c r="AB29" s="1">
        <v>735</v>
      </c>
      <c r="AF29" s="1">
        <v>490</v>
      </c>
      <c r="AG29" s="1">
        <v>493</v>
      </c>
      <c r="AH29" s="1">
        <v>423</v>
      </c>
      <c r="AI29" s="1">
        <v>507</v>
      </c>
      <c r="AJ29" s="1">
        <v>497</v>
      </c>
      <c r="AK29" s="1">
        <v>416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23103-6B10-CB46-BCBB-790C5966290F}">
  <dimension ref="A1:AC29"/>
  <sheetViews>
    <sheetView workbookViewId="0">
      <selection activeCell="B61" sqref="B61"/>
    </sheetView>
  </sheetViews>
  <sheetFormatPr baseColWidth="10" defaultRowHeight="16" x14ac:dyDescent="0.2"/>
  <cols>
    <col min="1" max="16384" width="10.83203125" style="1"/>
  </cols>
  <sheetData>
    <row r="1" spans="1:29" x14ac:dyDescent="0.2">
      <c r="B1" s="1">
        <v>1989</v>
      </c>
      <c r="C1" s="1">
        <v>1990</v>
      </c>
      <c r="D1" s="1">
        <v>1991</v>
      </c>
      <c r="E1" s="1">
        <v>1992</v>
      </c>
      <c r="F1" s="1">
        <v>1993</v>
      </c>
      <c r="G1" s="1">
        <v>1994</v>
      </c>
      <c r="H1" s="1">
        <v>1995</v>
      </c>
      <c r="I1" s="1">
        <v>1996</v>
      </c>
      <c r="J1" s="1">
        <v>1997</v>
      </c>
      <c r="K1" s="1">
        <v>1998</v>
      </c>
      <c r="L1" s="1">
        <v>1999</v>
      </c>
      <c r="M1" s="1">
        <v>2000</v>
      </c>
      <c r="N1" s="1">
        <v>2001</v>
      </c>
      <c r="O1" s="1">
        <v>2002</v>
      </c>
      <c r="P1" s="1">
        <v>2003</v>
      </c>
      <c r="Q1" s="1">
        <v>2004</v>
      </c>
      <c r="R1" s="1">
        <v>2005</v>
      </c>
      <c r="S1" s="1">
        <v>2006</v>
      </c>
      <c r="T1" s="1">
        <v>2007</v>
      </c>
      <c r="U1" s="1">
        <v>2008</v>
      </c>
      <c r="V1" s="1">
        <v>2009</v>
      </c>
      <c r="W1" s="1">
        <v>2010</v>
      </c>
      <c r="X1" s="1">
        <v>2011</v>
      </c>
      <c r="Y1" s="1">
        <v>2012</v>
      </c>
      <c r="Z1" s="1">
        <v>2013</v>
      </c>
      <c r="AA1" s="1">
        <v>2014</v>
      </c>
      <c r="AB1" s="1">
        <v>2015</v>
      </c>
      <c r="AC1" s="1">
        <v>2016</v>
      </c>
    </row>
    <row r="2" spans="1:29" x14ac:dyDescent="0.2">
      <c r="A2" s="5" t="s">
        <v>27</v>
      </c>
      <c r="B2" s="1">
        <v>3196</v>
      </c>
      <c r="C2" s="1">
        <v>3251</v>
      </c>
      <c r="D2" s="1">
        <v>3187</v>
      </c>
      <c r="E2" s="1">
        <v>3078</v>
      </c>
      <c r="F2" s="1">
        <v>3072</v>
      </c>
      <c r="G2" s="1">
        <v>3117</v>
      </c>
      <c r="H2" s="1">
        <v>3164</v>
      </c>
      <c r="I2" s="1">
        <v>3209</v>
      </c>
      <c r="J2" s="1">
        <v>3231</v>
      </c>
      <c r="K2" s="1">
        <v>3219</v>
      </c>
      <c r="L2" s="1">
        <v>3193</v>
      </c>
      <c r="M2" s="1">
        <v>3164</v>
      </c>
      <c r="N2" s="1">
        <v>3134</v>
      </c>
      <c r="O2" s="1">
        <v>3104</v>
      </c>
      <c r="P2" s="1">
        <v>3075</v>
      </c>
      <c r="Q2" s="1">
        <v>3051</v>
      </c>
      <c r="R2" s="1">
        <v>3030</v>
      </c>
      <c r="S2" s="1">
        <v>3011</v>
      </c>
      <c r="T2" s="1">
        <v>2997</v>
      </c>
      <c r="U2" s="1">
        <v>2990</v>
      </c>
      <c r="V2" s="1">
        <v>2988</v>
      </c>
      <c r="W2" s="1">
        <v>2992</v>
      </c>
      <c r="X2" s="1">
        <v>3000</v>
      </c>
      <c r="Y2" s="1">
        <v>3008</v>
      </c>
      <c r="Z2" s="1">
        <v>3017</v>
      </c>
      <c r="AA2" s="1">
        <v>3026</v>
      </c>
      <c r="AB2" s="1">
        <v>3035</v>
      </c>
      <c r="AC2" s="1">
        <v>3044</v>
      </c>
    </row>
    <row r="3" spans="1:29" x14ac:dyDescent="0.2">
      <c r="A3" s="5" t="s">
        <v>23</v>
      </c>
      <c r="B3" s="1">
        <v>3326</v>
      </c>
      <c r="C3" s="1">
        <v>3377</v>
      </c>
      <c r="D3" s="1">
        <v>3434</v>
      </c>
      <c r="E3" s="1">
        <v>3357</v>
      </c>
      <c r="F3" s="1">
        <v>3185</v>
      </c>
      <c r="G3" s="1">
        <v>3060</v>
      </c>
      <c r="H3" s="1">
        <v>2995</v>
      </c>
      <c r="I3" s="1">
        <v>2985</v>
      </c>
      <c r="J3" s="1">
        <v>2978</v>
      </c>
      <c r="K3" s="1">
        <v>2972</v>
      </c>
      <c r="L3" s="1">
        <v>2970</v>
      </c>
      <c r="M3" s="1">
        <v>2966</v>
      </c>
      <c r="N3" s="1">
        <v>2965</v>
      </c>
      <c r="O3" s="1">
        <v>2962</v>
      </c>
      <c r="P3" s="1">
        <v>2955</v>
      </c>
      <c r="Q3" s="1">
        <v>2953</v>
      </c>
      <c r="R3" s="1">
        <v>2951</v>
      </c>
      <c r="S3" s="1">
        <v>2948</v>
      </c>
      <c r="T3" s="1">
        <v>2946</v>
      </c>
      <c r="U3" s="1">
        <v>2943</v>
      </c>
      <c r="V3" s="1">
        <v>2941</v>
      </c>
      <c r="W3" s="1">
        <v>2939</v>
      </c>
      <c r="X3" s="1">
        <v>2937</v>
      </c>
      <c r="Y3" s="1">
        <v>2934</v>
      </c>
      <c r="Z3" s="1">
        <v>2932</v>
      </c>
      <c r="AA3" s="1">
        <v>2928</v>
      </c>
      <c r="AB3" s="1">
        <v>2924</v>
      </c>
      <c r="AC3" s="1">
        <v>2919</v>
      </c>
    </row>
    <row r="4" spans="1:29" x14ac:dyDescent="0.2">
      <c r="A4" s="5" t="s">
        <v>29</v>
      </c>
      <c r="B4" s="1">
        <v>7102</v>
      </c>
      <c r="C4" s="1">
        <v>7200</v>
      </c>
      <c r="D4" s="1">
        <v>7300</v>
      </c>
      <c r="E4" s="1">
        <v>7412</v>
      </c>
      <c r="F4" s="1">
        <v>7528</v>
      </c>
      <c r="G4" s="1">
        <v>7637</v>
      </c>
      <c r="H4" s="1">
        <v>7731</v>
      </c>
      <c r="I4" s="1">
        <v>7815</v>
      </c>
      <c r="J4" s="1">
        <v>7897</v>
      </c>
      <c r="K4" s="1">
        <v>7979</v>
      </c>
      <c r="L4" s="1">
        <v>8056</v>
      </c>
      <c r="M4" s="1">
        <v>8127</v>
      </c>
      <c r="N4" s="1">
        <v>8194</v>
      </c>
      <c r="O4" s="1">
        <v>8257</v>
      </c>
      <c r="P4" s="1">
        <v>8319</v>
      </c>
      <c r="Q4" s="1">
        <v>8391</v>
      </c>
      <c r="R4" s="1">
        <v>8475</v>
      </c>
      <c r="S4" s="1">
        <v>8565</v>
      </c>
      <c r="T4" s="1">
        <v>8657</v>
      </c>
      <c r="U4" s="1">
        <v>8750</v>
      </c>
      <c r="V4" s="1">
        <v>8842</v>
      </c>
      <c r="W4" s="1">
        <v>8933</v>
      </c>
      <c r="X4" s="1">
        <v>9024</v>
      </c>
      <c r="Y4" s="1">
        <v>9117</v>
      </c>
      <c r="Z4" s="1">
        <v>9210</v>
      </c>
      <c r="AA4" s="1">
        <v>9302</v>
      </c>
      <c r="AB4" s="1">
        <v>9393</v>
      </c>
      <c r="AC4" s="1">
        <v>9481</v>
      </c>
    </row>
    <row r="5" spans="1:29" x14ac:dyDescent="0.2">
      <c r="A5" s="5" t="s">
        <v>3</v>
      </c>
      <c r="B5" s="1">
        <v>10184</v>
      </c>
      <c r="C5" s="1">
        <v>10201</v>
      </c>
      <c r="D5" s="1">
        <v>10206</v>
      </c>
      <c r="E5" s="1">
        <v>10228</v>
      </c>
      <c r="F5" s="1">
        <v>10251</v>
      </c>
      <c r="G5" s="1">
        <v>10239</v>
      </c>
      <c r="H5" s="1">
        <v>10205</v>
      </c>
      <c r="I5" s="1">
        <v>10171</v>
      </c>
      <c r="J5" s="1">
        <v>10129</v>
      </c>
      <c r="K5" s="1">
        <v>10092</v>
      </c>
      <c r="L5" s="1">
        <v>10064</v>
      </c>
      <c r="M5" s="1">
        <v>10034</v>
      </c>
      <c r="N5" s="1">
        <v>10000</v>
      </c>
      <c r="O5" s="1">
        <v>9955</v>
      </c>
      <c r="P5" s="1">
        <v>9905</v>
      </c>
      <c r="Q5" s="1">
        <v>9856</v>
      </c>
      <c r="R5" s="1">
        <v>9807</v>
      </c>
      <c r="S5" s="1">
        <v>9764</v>
      </c>
      <c r="T5" s="1">
        <v>9734</v>
      </c>
      <c r="U5" s="1">
        <v>9713</v>
      </c>
      <c r="V5" s="1">
        <v>9697</v>
      </c>
      <c r="W5" s="1">
        <v>9681</v>
      </c>
      <c r="X5" s="1">
        <v>9662</v>
      </c>
      <c r="Y5" s="1">
        <v>9644</v>
      </c>
      <c r="Z5" s="1">
        <v>9626</v>
      </c>
      <c r="AA5" s="1">
        <v>9609</v>
      </c>
      <c r="AB5" s="1">
        <v>9590</v>
      </c>
      <c r="AC5" s="1">
        <v>9571</v>
      </c>
    </row>
    <row r="6" spans="1:29" x14ac:dyDescent="0.2">
      <c r="A6" s="5" t="s">
        <v>36</v>
      </c>
      <c r="B6" s="1">
        <v>4398</v>
      </c>
      <c r="C6" s="1">
        <v>4424</v>
      </c>
      <c r="D6" s="1">
        <v>4437</v>
      </c>
      <c r="E6" s="1">
        <v>4233</v>
      </c>
      <c r="F6" s="1">
        <v>3913</v>
      </c>
      <c r="G6" s="1">
        <v>3727</v>
      </c>
      <c r="H6" s="1">
        <v>3636</v>
      </c>
      <c r="I6" s="1">
        <v>3649</v>
      </c>
      <c r="J6" s="1">
        <v>3681</v>
      </c>
      <c r="K6" s="1">
        <v>3713</v>
      </c>
      <c r="L6" s="1">
        <v>3811</v>
      </c>
      <c r="M6" s="1">
        <v>3901</v>
      </c>
      <c r="N6" s="1">
        <v>3919</v>
      </c>
      <c r="O6" s="1">
        <v>3923</v>
      </c>
      <c r="P6" s="1">
        <v>3940</v>
      </c>
      <c r="Q6" s="1">
        <v>3975</v>
      </c>
      <c r="R6" s="1">
        <v>3991</v>
      </c>
      <c r="S6" s="1">
        <v>3993</v>
      </c>
      <c r="T6" s="1">
        <v>3990</v>
      </c>
      <c r="U6" s="1">
        <v>3987</v>
      </c>
      <c r="V6" s="1">
        <v>3985</v>
      </c>
      <c r="W6" s="1">
        <v>3983</v>
      </c>
      <c r="X6" s="1">
        <v>3980</v>
      </c>
      <c r="Y6" s="1">
        <v>3977</v>
      </c>
      <c r="Z6" s="1">
        <v>3973</v>
      </c>
      <c r="AA6" s="1">
        <v>3969</v>
      </c>
      <c r="AB6" s="1">
        <v>3964</v>
      </c>
      <c r="AC6" s="1">
        <v>3959</v>
      </c>
    </row>
    <row r="7" spans="1:29" x14ac:dyDescent="0.2">
      <c r="A7" s="5" t="s">
        <v>22</v>
      </c>
      <c r="B7" s="1">
        <v>8990</v>
      </c>
      <c r="C7" s="1">
        <v>8894</v>
      </c>
      <c r="D7" s="1">
        <v>8772</v>
      </c>
      <c r="E7" s="1">
        <v>8659</v>
      </c>
      <c r="F7" s="1">
        <v>8442</v>
      </c>
      <c r="G7" s="1">
        <v>8363</v>
      </c>
      <c r="H7" s="1">
        <v>8284</v>
      </c>
      <c r="I7" s="1">
        <v>8204</v>
      </c>
      <c r="J7" s="1">
        <v>8121</v>
      </c>
      <c r="K7" s="1">
        <v>8038</v>
      </c>
      <c r="L7" s="1">
        <v>7969</v>
      </c>
      <c r="M7" s="1">
        <v>7909</v>
      </c>
      <c r="N7" s="1">
        <v>7847</v>
      </c>
      <c r="O7" s="1">
        <v>7784</v>
      </c>
      <c r="P7" s="1">
        <v>7723</v>
      </c>
      <c r="Q7" s="1">
        <v>7666</v>
      </c>
      <c r="R7" s="1">
        <v>7611</v>
      </c>
      <c r="S7" s="1">
        <v>7558</v>
      </c>
      <c r="T7" s="1">
        <v>7509</v>
      </c>
      <c r="U7" s="1">
        <v>7465</v>
      </c>
      <c r="V7" s="1">
        <v>7428</v>
      </c>
      <c r="W7" s="1">
        <v>7391</v>
      </c>
      <c r="X7" s="1">
        <v>7351</v>
      </c>
      <c r="Y7" s="1">
        <v>7309</v>
      </c>
      <c r="Z7" s="1">
        <v>7268</v>
      </c>
      <c r="AA7" s="1">
        <v>7228</v>
      </c>
      <c r="AB7" s="1">
        <v>7187</v>
      </c>
      <c r="AC7" s="1">
        <v>7145</v>
      </c>
    </row>
    <row r="8" spans="1:29" x14ac:dyDescent="0.2">
      <c r="A8" s="5" t="s">
        <v>12</v>
      </c>
      <c r="B8" s="1">
        <v>4501</v>
      </c>
      <c r="C8" s="1">
        <v>4508</v>
      </c>
      <c r="D8" s="1">
        <v>4541</v>
      </c>
      <c r="E8" s="1">
        <v>4491</v>
      </c>
      <c r="F8" s="1">
        <v>4478</v>
      </c>
      <c r="G8" s="1">
        <v>4499</v>
      </c>
      <c r="H8" s="1">
        <v>4481</v>
      </c>
      <c r="I8" s="1">
        <v>4445</v>
      </c>
      <c r="J8" s="1">
        <v>4425</v>
      </c>
      <c r="K8" s="1">
        <v>4400</v>
      </c>
      <c r="L8" s="1">
        <v>4388</v>
      </c>
      <c r="M8" s="1">
        <v>4390</v>
      </c>
      <c r="N8" s="1">
        <v>4419</v>
      </c>
      <c r="O8" s="1">
        <v>4442</v>
      </c>
      <c r="P8" s="1">
        <v>4441</v>
      </c>
      <c r="Q8" s="1">
        <v>4441</v>
      </c>
      <c r="R8" s="1">
        <v>4442</v>
      </c>
      <c r="S8" s="1">
        <v>4441</v>
      </c>
      <c r="T8" s="1">
        <v>4437</v>
      </c>
      <c r="U8" s="1">
        <v>4434</v>
      </c>
      <c r="V8" s="1">
        <v>4429</v>
      </c>
      <c r="W8" s="1">
        <v>4417</v>
      </c>
      <c r="X8" s="1">
        <v>4404</v>
      </c>
      <c r="Y8" s="1">
        <v>4390</v>
      </c>
      <c r="Z8" s="1">
        <v>4375</v>
      </c>
      <c r="AA8" s="1">
        <v>4357</v>
      </c>
      <c r="AB8" s="1">
        <v>4335</v>
      </c>
      <c r="AC8" s="1">
        <v>4314</v>
      </c>
    </row>
    <row r="9" spans="1:29" x14ac:dyDescent="0.2">
      <c r="A9" s="5" t="s">
        <v>37</v>
      </c>
      <c r="B9" s="1">
        <v>10314</v>
      </c>
      <c r="C9" s="1">
        <v>10310</v>
      </c>
      <c r="D9" s="1">
        <v>10285</v>
      </c>
      <c r="E9" s="1">
        <v>10295</v>
      </c>
      <c r="F9" s="1">
        <v>10306</v>
      </c>
      <c r="G9" s="1">
        <v>10310</v>
      </c>
      <c r="H9" s="1">
        <v>10303</v>
      </c>
      <c r="I9" s="1">
        <v>10291</v>
      </c>
      <c r="J9" s="1">
        <v>10280</v>
      </c>
      <c r="K9" s="1">
        <v>10271</v>
      </c>
      <c r="L9" s="1">
        <v>10260</v>
      </c>
      <c r="M9" s="1">
        <v>10231</v>
      </c>
      <c r="N9" s="1">
        <v>10193</v>
      </c>
      <c r="O9" s="1">
        <v>10173</v>
      </c>
      <c r="P9" s="1">
        <v>10170</v>
      </c>
      <c r="Q9" s="1">
        <v>10174</v>
      </c>
      <c r="R9" s="1">
        <v>10188</v>
      </c>
      <c r="S9" s="1">
        <v>10215</v>
      </c>
      <c r="T9" s="1">
        <v>10275</v>
      </c>
      <c r="U9" s="1">
        <v>10361</v>
      </c>
      <c r="V9" s="1">
        <v>10420</v>
      </c>
      <c r="W9" s="1">
        <v>10450</v>
      </c>
      <c r="X9" s="1">
        <v>10472</v>
      </c>
      <c r="Y9" s="1">
        <v>10487</v>
      </c>
      <c r="Z9" s="1">
        <v>10490</v>
      </c>
      <c r="AA9" s="1">
        <v>10501</v>
      </c>
      <c r="AB9" s="1">
        <v>10522</v>
      </c>
      <c r="AC9" s="1">
        <v>10542</v>
      </c>
    </row>
    <row r="10" spans="1:29" x14ac:dyDescent="0.2">
      <c r="A10" s="5" t="s">
        <v>13</v>
      </c>
      <c r="B10" s="1">
        <v>1571</v>
      </c>
      <c r="C10" s="1">
        <v>1569</v>
      </c>
      <c r="D10" s="1">
        <v>1561</v>
      </c>
      <c r="E10" s="1">
        <v>1533</v>
      </c>
      <c r="F10" s="1">
        <v>1494</v>
      </c>
      <c r="G10" s="1">
        <v>1463</v>
      </c>
      <c r="H10" s="1">
        <v>1437</v>
      </c>
      <c r="I10" s="1">
        <v>1416</v>
      </c>
      <c r="J10" s="1">
        <v>1400</v>
      </c>
      <c r="K10" s="1">
        <v>1386</v>
      </c>
      <c r="L10" s="1">
        <v>1375</v>
      </c>
      <c r="M10" s="1">
        <v>1365</v>
      </c>
      <c r="N10" s="1">
        <v>1357</v>
      </c>
      <c r="O10" s="1">
        <v>1348</v>
      </c>
      <c r="P10" s="1">
        <v>1340</v>
      </c>
      <c r="Q10" s="1">
        <v>1332</v>
      </c>
      <c r="R10" s="1">
        <v>1324</v>
      </c>
      <c r="S10" s="1">
        <v>1316</v>
      </c>
      <c r="T10" s="1">
        <v>1310</v>
      </c>
      <c r="U10" s="1">
        <v>1307</v>
      </c>
      <c r="V10" s="1">
        <v>1304</v>
      </c>
      <c r="W10" s="1">
        <v>1301</v>
      </c>
      <c r="X10" s="1">
        <v>1297</v>
      </c>
      <c r="Y10" s="1">
        <v>1293</v>
      </c>
      <c r="Z10" s="1">
        <v>1288</v>
      </c>
      <c r="AA10" s="1">
        <v>1285</v>
      </c>
      <c r="AB10" s="1">
        <v>1285</v>
      </c>
      <c r="AC10" s="1">
        <v>1287</v>
      </c>
    </row>
    <row r="11" spans="1:29" x14ac:dyDescent="0.2">
      <c r="A11" s="5" t="s">
        <v>26</v>
      </c>
      <c r="B11" s="1">
        <v>5398</v>
      </c>
      <c r="C11" s="1">
        <v>5426</v>
      </c>
      <c r="D11" s="1">
        <v>5425</v>
      </c>
      <c r="E11" s="1">
        <v>5366</v>
      </c>
      <c r="F11" s="1">
        <v>5264</v>
      </c>
      <c r="G11" s="1">
        <v>5141</v>
      </c>
      <c r="H11" s="1">
        <v>5037</v>
      </c>
      <c r="I11" s="1">
        <v>4961</v>
      </c>
      <c r="J11" s="1">
        <v>4912</v>
      </c>
      <c r="K11" s="1">
        <v>4878</v>
      </c>
      <c r="L11" s="1">
        <v>4848</v>
      </c>
      <c r="M11" s="1">
        <v>4814</v>
      </c>
      <c r="N11" s="1">
        <v>4789</v>
      </c>
      <c r="O11" s="1">
        <v>4771</v>
      </c>
      <c r="P11" s="1">
        <v>4746</v>
      </c>
      <c r="Q11" s="1">
        <v>4739</v>
      </c>
      <c r="R11" s="1">
        <v>4786</v>
      </c>
      <c r="S11" s="1">
        <v>4826</v>
      </c>
      <c r="T11" s="1">
        <v>4820</v>
      </c>
      <c r="U11" s="1">
        <v>4819</v>
      </c>
      <c r="V11" s="1">
        <v>4851</v>
      </c>
      <c r="W11" s="1">
        <v>4898</v>
      </c>
      <c r="X11" s="1">
        <v>4934</v>
      </c>
      <c r="Y11" s="1">
        <v>4946</v>
      </c>
      <c r="Z11" s="1">
        <v>4938</v>
      </c>
      <c r="AA11" s="1">
        <v>4931</v>
      </c>
      <c r="AB11" s="1">
        <v>4927</v>
      </c>
      <c r="AC11" s="1">
        <v>4924</v>
      </c>
    </row>
    <row r="12" spans="1:29" x14ac:dyDescent="0.2">
      <c r="A12" s="5" t="s">
        <v>9</v>
      </c>
      <c r="B12" s="1">
        <v>10398</v>
      </c>
      <c r="C12" s="1">
        <v>10372</v>
      </c>
      <c r="D12" s="1">
        <v>10371</v>
      </c>
      <c r="E12" s="1">
        <v>10367</v>
      </c>
      <c r="F12" s="1">
        <v>10355</v>
      </c>
      <c r="G12" s="1">
        <v>10341</v>
      </c>
      <c r="H12" s="1">
        <v>10327</v>
      </c>
      <c r="I12" s="1">
        <v>10309</v>
      </c>
      <c r="J12" s="1">
        <v>10288</v>
      </c>
      <c r="K12" s="1">
        <v>10264</v>
      </c>
      <c r="L12" s="1">
        <v>10235</v>
      </c>
      <c r="M12" s="1">
        <v>10209</v>
      </c>
      <c r="N12" s="1">
        <v>10186</v>
      </c>
      <c r="O12" s="1">
        <v>10157</v>
      </c>
      <c r="P12" s="1">
        <v>10127</v>
      </c>
      <c r="Q12" s="1">
        <v>10105</v>
      </c>
      <c r="R12" s="1">
        <v>10085</v>
      </c>
      <c r="S12" s="1">
        <v>10069</v>
      </c>
      <c r="T12" s="1">
        <v>10054</v>
      </c>
      <c r="U12" s="1">
        <v>10036</v>
      </c>
      <c r="V12" s="1">
        <v>10021</v>
      </c>
      <c r="W12" s="1">
        <v>9998</v>
      </c>
      <c r="X12" s="1">
        <v>9957</v>
      </c>
      <c r="Y12" s="1">
        <v>9918</v>
      </c>
      <c r="Z12" s="1">
        <v>9891</v>
      </c>
      <c r="AA12" s="1">
        <v>9864</v>
      </c>
      <c r="AB12" s="1">
        <v>9841</v>
      </c>
      <c r="AC12" s="1">
        <v>9822</v>
      </c>
    </row>
    <row r="13" spans="1:29" x14ac:dyDescent="0.2">
      <c r="A13" s="5" t="s">
        <v>7</v>
      </c>
      <c r="B13" s="1">
        <v>16265</v>
      </c>
      <c r="C13" s="1">
        <v>16398</v>
      </c>
      <c r="D13" s="1">
        <v>16522</v>
      </c>
      <c r="E13" s="1">
        <v>16583</v>
      </c>
      <c r="F13" s="1">
        <v>16523</v>
      </c>
      <c r="G13" s="1">
        <v>16289</v>
      </c>
      <c r="H13" s="1">
        <v>16022</v>
      </c>
      <c r="I13" s="1">
        <v>15872</v>
      </c>
      <c r="J13" s="1">
        <v>15692</v>
      </c>
      <c r="K13" s="1">
        <v>15485</v>
      </c>
      <c r="L13" s="1">
        <v>15357</v>
      </c>
      <c r="M13" s="1">
        <v>15335</v>
      </c>
      <c r="N13" s="1">
        <v>15383</v>
      </c>
      <c r="O13" s="1">
        <v>15447</v>
      </c>
      <c r="P13" s="1">
        <v>15526</v>
      </c>
      <c r="Q13" s="1">
        <v>15629</v>
      </c>
      <c r="R13" s="1">
        <v>15760</v>
      </c>
      <c r="S13" s="1">
        <v>15918</v>
      </c>
      <c r="T13" s="1">
        <v>16090</v>
      </c>
      <c r="U13" s="1">
        <v>16276</v>
      </c>
      <c r="V13" s="1">
        <v>16484</v>
      </c>
      <c r="W13" s="1">
        <v>16701</v>
      </c>
      <c r="X13" s="1">
        <v>16916</v>
      </c>
      <c r="Y13" s="1">
        <v>17128</v>
      </c>
      <c r="Z13" s="1">
        <v>17338</v>
      </c>
      <c r="AA13" s="1">
        <v>17546</v>
      </c>
      <c r="AB13" s="1">
        <v>17749</v>
      </c>
      <c r="AC13" s="1">
        <v>17948</v>
      </c>
    </row>
    <row r="14" spans="1:29" x14ac:dyDescent="0.2">
      <c r="A14" s="5" t="s">
        <v>14</v>
      </c>
      <c r="B14" s="1">
        <v>4302</v>
      </c>
      <c r="C14" s="1">
        <v>4382</v>
      </c>
      <c r="D14" s="1">
        <v>4446</v>
      </c>
      <c r="E14" s="1">
        <v>4489</v>
      </c>
      <c r="F14" s="1">
        <v>4480</v>
      </c>
      <c r="G14" s="1">
        <v>4472</v>
      </c>
      <c r="H14" s="1">
        <v>4516</v>
      </c>
      <c r="I14" s="1">
        <v>4580</v>
      </c>
      <c r="J14" s="1">
        <v>4644</v>
      </c>
      <c r="K14" s="1">
        <v>4708</v>
      </c>
      <c r="L14" s="1">
        <v>4773</v>
      </c>
      <c r="M14" s="1">
        <v>4826</v>
      </c>
      <c r="N14" s="1">
        <v>4865</v>
      </c>
      <c r="O14" s="1">
        <v>4901</v>
      </c>
      <c r="P14" s="1">
        <v>4946</v>
      </c>
      <c r="Q14" s="1">
        <v>4999</v>
      </c>
      <c r="R14" s="1">
        <v>5048</v>
      </c>
      <c r="S14" s="1">
        <v>5096</v>
      </c>
      <c r="T14" s="1">
        <v>5137</v>
      </c>
      <c r="U14" s="1">
        <v>5180</v>
      </c>
      <c r="V14" s="1">
        <v>5238</v>
      </c>
      <c r="W14" s="1">
        <v>5289</v>
      </c>
      <c r="X14" s="1">
        <v>5328</v>
      </c>
      <c r="Y14" s="1">
        <v>5373</v>
      </c>
      <c r="Z14" s="1">
        <v>5423</v>
      </c>
      <c r="AA14" s="1">
        <v>5478</v>
      </c>
      <c r="AB14" s="1">
        <v>5538</v>
      </c>
      <c r="AC14" s="1">
        <v>5599</v>
      </c>
    </row>
    <row r="15" spans="1:29" x14ac:dyDescent="0.2">
      <c r="A15" s="5" t="s">
        <v>20</v>
      </c>
      <c r="B15" s="1">
        <v>2667</v>
      </c>
      <c r="C15" s="1">
        <v>2664</v>
      </c>
      <c r="D15" s="1">
        <v>2651</v>
      </c>
      <c r="E15" s="1">
        <v>2615</v>
      </c>
      <c r="F15" s="1">
        <v>2564</v>
      </c>
      <c r="G15" s="1">
        <v>2521</v>
      </c>
      <c r="H15" s="1">
        <v>2485</v>
      </c>
      <c r="I15" s="1">
        <v>2458</v>
      </c>
      <c r="J15" s="1">
        <v>2433</v>
      </c>
      <c r="K15" s="1">
        <v>2410</v>
      </c>
      <c r="L15" s="1">
        <v>2391</v>
      </c>
      <c r="M15" s="1">
        <v>2368</v>
      </c>
      <c r="N15" s="1">
        <v>2338</v>
      </c>
      <c r="O15" s="1">
        <v>2311</v>
      </c>
      <c r="P15" s="1">
        <v>2288</v>
      </c>
      <c r="Q15" s="1">
        <v>2263</v>
      </c>
      <c r="R15" s="1">
        <v>2239</v>
      </c>
      <c r="S15" s="1">
        <v>2219</v>
      </c>
      <c r="T15" s="1">
        <v>2201</v>
      </c>
      <c r="U15" s="1">
        <v>2178</v>
      </c>
      <c r="V15" s="1">
        <v>2142</v>
      </c>
      <c r="W15" s="1">
        <v>2098</v>
      </c>
      <c r="X15" s="1">
        <v>2060</v>
      </c>
      <c r="Y15" s="1">
        <v>2035</v>
      </c>
      <c r="Z15" s="1">
        <v>2013</v>
      </c>
      <c r="AA15" s="1">
        <v>1994</v>
      </c>
      <c r="AB15" s="1">
        <v>1978</v>
      </c>
      <c r="AC15" s="1">
        <v>1961</v>
      </c>
    </row>
    <row r="16" spans="1:29" x14ac:dyDescent="0.2">
      <c r="A16" s="5" t="s">
        <v>21</v>
      </c>
      <c r="B16" s="1">
        <v>3681</v>
      </c>
      <c r="C16" s="1">
        <v>3695</v>
      </c>
      <c r="D16" s="1">
        <v>3701</v>
      </c>
      <c r="E16" s="1">
        <v>3697</v>
      </c>
      <c r="F16" s="1">
        <v>3680</v>
      </c>
      <c r="G16" s="1">
        <v>3654</v>
      </c>
      <c r="H16" s="1">
        <v>3626</v>
      </c>
      <c r="I16" s="1">
        <v>3599</v>
      </c>
      <c r="J16" s="1">
        <v>3572</v>
      </c>
      <c r="K16" s="1">
        <v>3546</v>
      </c>
      <c r="L16" s="1">
        <v>3521</v>
      </c>
      <c r="M16" s="1">
        <v>3497</v>
      </c>
      <c r="N16" s="1">
        <v>3468</v>
      </c>
      <c r="O16" s="1">
        <v>3440</v>
      </c>
      <c r="P16" s="1">
        <v>3412</v>
      </c>
      <c r="Q16" s="1">
        <v>3374</v>
      </c>
      <c r="R16" s="1">
        <v>3320</v>
      </c>
      <c r="S16" s="1">
        <v>3267</v>
      </c>
      <c r="T16" s="1">
        <v>3229</v>
      </c>
      <c r="U16" s="1">
        <v>3196</v>
      </c>
      <c r="V16" s="1">
        <v>3160</v>
      </c>
      <c r="W16" s="1">
        <v>3095</v>
      </c>
      <c r="X16" s="1">
        <v>3026</v>
      </c>
      <c r="Y16" s="1">
        <v>2985</v>
      </c>
      <c r="Z16" s="1">
        <v>2955</v>
      </c>
      <c r="AA16" s="1">
        <v>2930</v>
      </c>
      <c r="AB16" s="1">
        <v>2903</v>
      </c>
      <c r="AC16" s="1">
        <v>2867</v>
      </c>
    </row>
    <row r="17" spans="1:29" x14ac:dyDescent="0.2">
      <c r="A17" s="5" t="s">
        <v>15</v>
      </c>
      <c r="B17" s="1">
        <v>1863</v>
      </c>
      <c r="C17" s="1">
        <v>1861</v>
      </c>
      <c r="D17" s="1">
        <v>1868</v>
      </c>
      <c r="E17" s="1">
        <v>1889</v>
      </c>
      <c r="F17" s="1">
        <v>1918</v>
      </c>
      <c r="G17" s="1">
        <v>1935</v>
      </c>
      <c r="H17" s="1">
        <v>1954</v>
      </c>
      <c r="I17" s="1">
        <v>1971</v>
      </c>
      <c r="J17" s="1">
        <v>1985</v>
      </c>
      <c r="K17" s="1">
        <v>1995</v>
      </c>
      <c r="L17" s="1">
        <v>2005</v>
      </c>
      <c r="M17" s="1">
        <v>2015</v>
      </c>
      <c r="N17" s="1">
        <v>2024</v>
      </c>
      <c r="O17" s="1">
        <v>2030</v>
      </c>
      <c r="P17" s="1">
        <v>2035</v>
      </c>
      <c r="Q17" s="1">
        <v>2040</v>
      </c>
      <c r="R17" s="1">
        <v>2045</v>
      </c>
      <c r="S17" s="1">
        <v>2051</v>
      </c>
      <c r="T17" s="1">
        <v>2056</v>
      </c>
      <c r="U17" s="1">
        <v>2061</v>
      </c>
      <c r="V17" s="1">
        <v>2067</v>
      </c>
      <c r="W17" s="1">
        <v>2072</v>
      </c>
      <c r="X17" s="1">
        <v>2077</v>
      </c>
      <c r="Y17" s="1">
        <v>2082</v>
      </c>
      <c r="Z17" s="1">
        <v>2087</v>
      </c>
      <c r="AA17" s="1">
        <v>2092</v>
      </c>
      <c r="AB17" s="1">
        <v>2096</v>
      </c>
      <c r="AC17" s="1">
        <v>2100</v>
      </c>
    </row>
    <row r="18" spans="1:29" x14ac:dyDescent="0.2">
      <c r="A18" s="5" t="s">
        <v>16</v>
      </c>
      <c r="B18" s="1">
        <v>4359</v>
      </c>
      <c r="C18" s="1">
        <v>4394</v>
      </c>
      <c r="D18" s="1">
        <v>4401</v>
      </c>
      <c r="E18" s="1">
        <v>4402</v>
      </c>
      <c r="F18" s="1">
        <v>4401</v>
      </c>
      <c r="G18" s="1">
        <v>4392</v>
      </c>
      <c r="H18" s="1">
        <v>4375</v>
      </c>
      <c r="I18" s="1">
        <v>4354</v>
      </c>
      <c r="J18" s="1">
        <v>4324</v>
      </c>
      <c r="K18" s="1">
        <v>4286</v>
      </c>
      <c r="L18" s="1">
        <v>4244</v>
      </c>
      <c r="M18" s="1">
        <v>4199</v>
      </c>
      <c r="N18" s="1">
        <v>4154</v>
      </c>
      <c r="O18" s="1">
        <v>4108</v>
      </c>
      <c r="P18" s="1">
        <v>4059</v>
      </c>
      <c r="Q18" s="1">
        <v>4013</v>
      </c>
      <c r="R18" s="1">
        <v>3966</v>
      </c>
      <c r="S18" s="1">
        <v>3919</v>
      </c>
      <c r="T18" s="1">
        <v>3873</v>
      </c>
      <c r="U18" s="1">
        <v>3829</v>
      </c>
      <c r="V18" s="1">
        <v>3788</v>
      </c>
      <c r="W18" s="1">
        <v>3749</v>
      </c>
      <c r="X18" s="1">
        <v>3711</v>
      </c>
      <c r="Y18" s="1">
        <v>3674</v>
      </c>
      <c r="Z18" s="1">
        <v>3636</v>
      </c>
      <c r="AA18" s="1">
        <v>3600</v>
      </c>
      <c r="AB18" s="1">
        <v>3563</v>
      </c>
      <c r="AC18" s="1">
        <v>3527</v>
      </c>
    </row>
    <row r="19" spans="1:29" x14ac:dyDescent="0.2">
      <c r="A19" s="5" t="s">
        <v>24</v>
      </c>
      <c r="B19" s="1">
        <v>579</v>
      </c>
      <c r="C19" s="1">
        <v>583</v>
      </c>
      <c r="D19" s="1">
        <v>591</v>
      </c>
      <c r="E19" s="1">
        <v>622</v>
      </c>
      <c r="F19" s="1">
        <v>636</v>
      </c>
      <c r="G19" s="1">
        <v>653</v>
      </c>
      <c r="H19" s="1">
        <v>671</v>
      </c>
      <c r="I19" s="1">
        <v>684</v>
      </c>
      <c r="J19" s="1">
        <v>693</v>
      </c>
      <c r="K19" s="1">
        <v>701</v>
      </c>
      <c r="L19" s="1">
        <v>720</v>
      </c>
      <c r="M19" s="1">
        <v>732</v>
      </c>
      <c r="N19" s="1">
        <v>726</v>
      </c>
      <c r="O19" s="1">
        <v>720</v>
      </c>
      <c r="P19" s="1">
        <v>714</v>
      </c>
      <c r="Q19" s="1">
        <v>707</v>
      </c>
      <c r="R19" s="1">
        <v>699</v>
      </c>
      <c r="S19" s="1">
        <v>692</v>
      </c>
      <c r="T19" s="1">
        <v>685</v>
      </c>
      <c r="U19" s="1">
        <v>678</v>
      </c>
      <c r="V19" s="1">
        <v>672</v>
      </c>
      <c r="W19" s="1">
        <v>667</v>
      </c>
      <c r="X19" s="1">
        <v>662</v>
      </c>
      <c r="Y19" s="1">
        <v>657</v>
      </c>
      <c r="Z19" s="1">
        <v>653</v>
      </c>
      <c r="AA19" s="1">
        <v>650</v>
      </c>
      <c r="AB19" s="1">
        <v>647</v>
      </c>
      <c r="AC19" s="1">
        <v>645</v>
      </c>
    </row>
    <row r="20" spans="1:29" x14ac:dyDescent="0.2">
      <c r="A20" s="5" t="s">
        <v>11</v>
      </c>
      <c r="B20" s="1">
        <v>37970</v>
      </c>
      <c r="C20" s="1">
        <v>38119</v>
      </c>
      <c r="D20" s="1">
        <v>38255</v>
      </c>
      <c r="E20" s="1">
        <v>38372</v>
      </c>
      <c r="F20" s="1">
        <v>38470</v>
      </c>
      <c r="G20" s="1">
        <v>38551</v>
      </c>
      <c r="H20" s="1">
        <v>38604</v>
      </c>
      <c r="I20" s="1">
        <v>38633</v>
      </c>
      <c r="J20" s="1">
        <v>38658</v>
      </c>
      <c r="K20" s="1">
        <v>38672</v>
      </c>
      <c r="L20" s="1">
        <v>38669</v>
      </c>
      <c r="M20" s="1">
        <v>38658</v>
      </c>
      <c r="N20" s="1">
        <v>38647</v>
      </c>
      <c r="O20" s="1">
        <v>38629</v>
      </c>
      <c r="P20" s="1">
        <v>38603</v>
      </c>
      <c r="Q20" s="1">
        <v>38580</v>
      </c>
      <c r="R20" s="1">
        <v>38563</v>
      </c>
      <c r="S20" s="1">
        <v>38539</v>
      </c>
      <c r="T20" s="1">
        <v>38518</v>
      </c>
      <c r="U20" s="1">
        <v>38523</v>
      </c>
      <c r="V20" s="1">
        <v>38555</v>
      </c>
      <c r="W20" s="1">
        <v>38584</v>
      </c>
      <c r="X20" s="1">
        <v>38604</v>
      </c>
      <c r="Y20" s="1">
        <v>38604</v>
      </c>
      <c r="Z20" s="1">
        <v>38581</v>
      </c>
      <c r="AA20" s="1">
        <v>38552</v>
      </c>
      <c r="AB20" s="1">
        <v>38526</v>
      </c>
      <c r="AC20" s="1">
        <v>38505</v>
      </c>
    </row>
    <row r="21" spans="1:29" x14ac:dyDescent="0.2">
      <c r="A21" s="5" t="s">
        <v>17</v>
      </c>
      <c r="B21" s="1">
        <v>22852</v>
      </c>
      <c r="C21" s="1">
        <v>22866</v>
      </c>
      <c r="D21" s="1">
        <v>22826</v>
      </c>
      <c r="E21" s="1">
        <v>22797</v>
      </c>
      <c r="F21" s="1">
        <v>22766</v>
      </c>
      <c r="G21" s="1">
        <v>22733</v>
      </c>
      <c r="H21" s="1">
        <v>22687</v>
      </c>
      <c r="I21" s="1">
        <v>22622</v>
      </c>
      <c r="J21" s="1">
        <v>22558</v>
      </c>
      <c r="K21" s="1">
        <v>22511</v>
      </c>
      <c r="L21" s="1">
        <v>22476</v>
      </c>
      <c r="M21" s="1">
        <v>22447</v>
      </c>
      <c r="N21" s="1">
        <v>22415</v>
      </c>
      <c r="O21" s="1">
        <v>22366</v>
      </c>
      <c r="P21" s="1">
        <v>22305</v>
      </c>
      <c r="Q21" s="1">
        <v>22248</v>
      </c>
      <c r="R21" s="1">
        <v>22197</v>
      </c>
      <c r="S21" s="1">
        <v>22150</v>
      </c>
      <c r="T21" s="1">
        <v>22106</v>
      </c>
      <c r="U21" s="1">
        <v>22061</v>
      </c>
      <c r="V21" s="1">
        <v>22012</v>
      </c>
      <c r="W21" s="1">
        <v>21959</v>
      </c>
      <c r="X21" s="1">
        <v>21905</v>
      </c>
      <c r="Y21" s="1">
        <v>21849</v>
      </c>
      <c r="Z21" s="1">
        <v>21790</v>
      </c>
      <c r="AA21" s="1">
        <v>21730</v>
      </c>
      <c r="AB21" s="1">
        <v>21666</v>
      </c>
      <c r="AC21" s="1">
        <v>21600</v>
      </c>
    </row>
    <row r="22" spans="1:29" x14ac:dyDescent="0.2">
      <c r="A22" s="5" t="s">
        <v>38</v>
      </c>
      <c r="B22" s="1">
        <v>147352</v>
      </c>
      <c r="C22" s="1">
        <v>147973</v>
      </c>
      <c r="D22" s="1">
        <v>148445</v>
      </c>
      <c r="E22" s="1">
        <v>148728</v>
      </c>
      <c r="F22" s="1">
        <v>148842</v>
      </c>
      <c r="G22" s="1">
        <v>148822</v>
      </c>
      <c r="H22" s="1">
        <v>148699</v>
      </c>
      <c r="I22" s="1">
        <v>148483</v>
      </c>
      <c r="J22" s="1">
        <v>148178</v>
      </c>
      <c r="K22" s="1">
        <v>147789</v>
      </c>
      <c r="L22" s="1">
        <v>147326</v>
      </c>
      <c r="M22" s="1">
        <v>146802</v>
      </c>
      <c r="N22" s="1">
        <v>146217</v>
      </c>
      <c r="O22" s="1">
        <v>145594</v>
      </c>
      <c r="P22" s="1">
        <v>144979</v>
      </c>
      <c r="Q22" s="1">
        <v>144438</v>
      </c>
      <c r="R22" s="1">
        <v>144016</v>
      </c>
      <c r="S22" s="1">
        <v>143730</v>
      </c>
      <c r="T22" s="1">
        <v>143572</v>
      </c>
      <c r="U22" s="1">
        <v>143515</v>
      </c>
      <c r="V22" s="1">
        <v>143519</v>
      </c>
      <c r="W22" s="1">
        <v>143550</v>
      </c>
      <c r="X22" s="1">
        <v>143603</v>
      </c>
      <c r="Y22" s="1">
        <v>143680</v>
      </c>
      <c r="Z22" s="1">
        <v>143760</v>
      </c>
      <c r="AA22" s="1">
        <v>143822</v>
      </c>
      <c r="AB22" s="1">
        <v>143850</v>
      </c>
      <c r="AC22" s="1">
        <v>143833</v>
      </c>
    </row>
    <row r="23" spans="1:29" x14ac:dyDescent="0.2">
      <c r="A23" s="5" t="s">
        <v>19</v>
      </c>
      <c r="B23" s="1">
        <v>9317</v>
      </c>
      <c r="C23" s="1">
        <v>9648</v>
      </c>
      <c r="D23" s="1">
        <v>9595</v>
      </c>
      <c r="E23" s="1">
        <v>9512</v>
      </c>
      <c r="F23" s="1">
        <v>9490</v>
      </c>
      <c r="G23" s="1">
        <v>9465</v>
      </c>
      <c r="H23" s="1">
        <v>9435</v>
      </c>
      <c r="I23" s="1">
        <v>9444</v>
      </c>
      <c r="J23" s="1">
        <v>9417</v>
      </c>
      <c r="K23" s="1">
        <v>9384</v>
      </c>
      <c r="L23" s="1">
        <v>9367</v>
      </c>
      <c r="M23" s="1">
        <v>9259</v>
      </c>
      <c r="N23" s="1">
        <v>9192</v>
      </c>
      <c r="O23" s="1">
        <v>9193</v>
      </c>
      <c r="P23" s="1">
        <v>9187</v>
      </c>
      <c r="Q23" s="1">
        <v>9178</v>
      </c>
      <c r="R23" s="1">
        <v>9158</v>
      </c>
      <c r="S23" s="1">
        <v>9131</v>
      </c>
      <c r="T23" s="1">
        <v>9100</v>
      </c>
      <c r="U23" s="1">
        <v>9063</v>
      </c>
      <c r="V23" s="1">
        <v>9024</v>
      </c>
      <c r="W23" s="1">
        <v>8984</v>
      </c>
      <c r="X23" s="1">
        <v>8944</v>
      </c>
      <c r="Y23" s="1">
        <v>8904</v>
      </c>
      <c r="Z23" s="1">
        <v>8864</v>
      </c>
      <c r="AA23" s="1">
        <v>8823</v>
      </c>
      <c r="AB23" s="1">
        <v>8783</v>
      </c>
      <c r="AC23" s="1">
        <v>8742</v>
      </c>
    </row>
    <row r="24" spans="1:29" x14ac:dyDescent="0.2">
      <c r="A24" s="5" t="s">
        <v>4</v>
      </c>
      <c r="B24" s="1">
        <v>5245</v>
      </c>
      <c r="C24" s="1">
        <v>5263</v>
      </c>
      <c r="D24" s="1">
        <v>5267</v>
      </c>
      <c r="E24" s="1">
        <v>5268</v>
      </c>
      <c r="F24" s="1">
        <v>5289</v>
      </c>
      <c r="G24" s="1">
        <v>5309</v>
      </c>
      <c r="H24" s="1">
        <v>5325</v>
      </c>
      <c r="I24" s="1">
        <v>5336</v>
      </c>
      <c r="J24" s="1">
        <v>5346</v>
      </c>
      <c r="K24" s="1">
        <v>5353</v>
      </c>
      <c r="L24" s="1">
        <v>5359</v>
      </c>
      <c r="M24" s="1">
        <v>5352</v>
      </c>
      <c r="N24" s="1">
        <v>5342</v>
      </c>
      <c r="O24" s="1">
        <v>5340</v>
      </c>
      <c r="P24" s="1">
        <v>5336</v>
      </c>
      <c r="Q24" s="1">
        <v>5335</v>
      </c>
      <c r="R24" s="1">
        <v>5336</v>
      </c>
      <c r="S24" s="1">
        <v>5336</v>
      </c>
      <c r="T24" s="1">
        <v>5338</v>
      </c>
      <c r="U24" s="1">
        <v>5342</v>
      </c>
      <c r="V24" s="1">
        <v>5349</v>
      </c>
      <c r="W24" s="1">
        <v>5354</v>
      </c>
      <c r="X24" s="1">
        <v>5361</v>
      </c>
      <c r="Y24" s="1">
        <v>5370</v>
      </c>
      <c r="Z24" s="1">
        <v>5376</v>
      </c>
      <c r="AA24" s="1">
        <v>5381</v>
      </c>
      <c r="AB24" s="1">
        <v>5386</v>
      </c>
      <c r="AC24" s="1">
        <v>5393</v>
      </c>
    </row>
    <row r="25" spans="1:29" x14ac:dyDescent="0.2">
      <c r="A25" s="5" t="s">
        <v>6</v>
      </c>
      <c r="B25" s="1">
        <v>1976</v>
      </c>
      <c r="C25" s="1">
        <v>1991</v>
      </c>
      <c r="D25" s="1">
        <v>1992</v>
      </c>
      <c r="E25" s="1">
        <v>1990</v>
      </c>
      <c r="F25" s="1">
        <v>1985</v>
      </c>
      <c r="G25" s="1">
        <v>1983</v>
      </c>
      <c r="H25" s="1">
        <v>1983</v>
      </c>
      <c r="I25" s="1">
        <v>1982</v>
      </c>
      <c r="J25" s="1">
        <v>1979</v>
      </c>
      <c r="K25" s="1">
        <v>1975</v>
      </c>
      <c r="L25" s="1">
        <v>1976</v>
      </c>
      <c r="M25" s="1">
        <v>1982</v>
      </c>
      <c r="N25" s="1">
        <v>1985</v>
      </c>
      <c r="O25" s="1">
        <v>1988</v>
      </c>
      <c r="P25" s="1">
        <v>1989</v>
      </c>
      <c r="Q25" s="1">
        <v>1990</v>
      </c>
      <c r="R25" s="1">
        <v>1994</v>
      </c>
      <c r="S25" s="1">
        <v>2000</v>
      </c>
      <c r="T25" s="1">
        <v>2003</v>
      </c>
      <c r="U25" s="1">
        <v>2014</v>
      </c>
      <c r="V25" s="1">
        <v>2033</v>
      </c>
      <c r="W25" s="1">
        <v>2041</v>
      </c>
      <c r="X25" s="1">
        <v>2046</v>
      </c>
      <c r="Y25" s="1">
        <v>2050</v>
      </c>
      <c r="Z25" s="1">
        <v>2053</v>
      </c>
      <c r="AA25" s="1">
        <v>2055</v>
      </c>
      <c r="AB25" s="1">
        <v>2056</v>
      </c>
      <c r="AC25" s="1">
        <v>2057</v>
      </c>
    </row>
    <row r="26" spans="1:29" x14ac:dyDescent="0.2">
      <c r="A26" s="5" t="s">
        <v>28</v>
      </c>
      <c r="B26" s="1">
        <v>5148</v>
      </c>
      <c r="C26" s="1">
        <v>5272</v>
      </c>
      <c r="D26" s="1">
        <v>5407</v>
      </c>
      <c r="E26" s="1">
        <v>5500</v>
      </c>
      <c r="F26" s="1">
        <v>5546</v>
      </c>
      <c r="G26" s="1">
        <v>5604</v>
      </c>
      <c r="H26" s="1">
        <v>5678</v>
      </c>
      <c r="I26" s="1">
        <v>5764</v>
      </c>
      <c r="J26" s="1">
        <v>5864</v>
      </c>
      <c r="K26" s="1">
        <v>5983</v>
      </c>
      <c r="L26" s="1">
        <v>6110</v>
      </c>
      <c r="M26" s="1">
        <v>6229</v>
      </c>
      <c r="N26" s="1">
        <v>6339</v>
      </c>
      <c r="O26" s="1">
        <v>6452</v>
      </c>
      <c r="P26" s="1">
        <v>6567</v>
      </c>
      <c r="Q26" s="1">
        <v>6688</v>
      </c>
      <c r="R26" s="1">
        <v>6814</v>
      </c>
      <c r="S26" s="1">
        <v>6944</v>
      </c>
      <c r="T26" s="1">
        <v>7076</v>
      </c>
      <c r="U26" s="1">
        <v>7211</v>
      </c>
      <c r="V26" s="1">
        <v>7349</v>
      </c>
      <c r="W26" s="1">
        <v>7487</v>
      </c>
      <c r="X26" s="1">
        <v>7627</v>
      </c>
      <c r="Y26" s="1">
        <v>7768</v>
      </c>
      <c r="Z26" s="1">
        <v>7910</v>
      </c>
      <c r="AA26" s="1">
        <v>8051</v>
      </c>
      <c r="AB26" s="1">
        <v>8191</v>
      </c>
      <c r="AC26" s="1">
        <v>8330</v>
      </c>
    </row>
    <row r="27" spans="1:29" x14ac:dyDescent="0.2">
      <c r="A27" s="5" t="s">
        <v>32</v>
      </c>
      <c r="B27" s="1">
        <v>3572</v>
      </c>
      <c r="C27" s="1">
        <v>3658</v>
      </c>
      <c r="D27" s="1">
        <v>3745</v>
      </c>
      <c r="E27" s="1">
        <v>3830</v>
      </c>
      <c r="F27" s="1">
        <v>3917</v>
      </c>
      <c r="G27" s="1">
        <v>4003</v>
      </c>
      <c r="H27" s="1">
        <v>4078</v>
      </c>
      <c r="I27" s="1">
        <v>4142</v>
      </c>
      <c r="J27" s="1">
        <v>4200</v>
      </c>
      <c r="K27" s="1">
        <v>4262</v>
      </c>
      <c r="L27" s="1">
        <v>4324</v>
      </c>
      <c r="M27" s="1">
        <v>4385</v>
      </c>
      <c r="N27" s="1">
        <v>4444</v>
      </c>
      <c r="O27" s="1">
        <v>4502</v>
      </c>
      <c r="P27" s="1">
        <v>4556</v>
      </c>
      <c r="Q27" s="1">
        <v>4608</v>
      </c>
      <c r="R27" s="1">
        <v>4664</v>
      </c>
      <c r="S27" s="1">
        <v>4719</v>
      </c>
      <c r="T27" s="1">
        <v>4774</v>
      </c>
      <c r="U27" s="1">
        <v>4829</v>
      </c>
      <c r="V27" s="1">
        <v>4884</v>
      </c>
      <c r="W27" s="1">
        <v>4940</v>
      </c>
      <c r="X27" s="1">
        <v>4997</v>
      </c>
      <c r="Y27" s="1">
        <v>5054</v>
      </c>
      <c r="Z27" s="1">
        <v>5112</v>
      </c>
      <c r="AA27" s="1">
        <v>5171</v>
      </c>
      <c r="AB27" s="1">
        <v>5231</v>
      </c>
      <c r="AC27" s="1">
        <v>5291</v>
      </c>
    </row>
    <row r="28" spans="1:29" x14ac:dyDescent="0.2">
      <c r="A28" s="5" t="s">
        <v>8</v>
      </c>
      <c r="B28" s="1">
        <v>51501</v>
      </c>
      <c r="C28" s="1">
        <v>51622</v>
      </c>
      <c r="D28" s="1">
        <v>51730</v>
      </c>
      <c r="E28" s="1">
        <v>51869</v>
      </c>
      <c r="F28" s="1">
        <v>51887</v>
      </c>
      <c r="G28" s="1">
        <v>51638</v>
      </c>
      <c r="H28" s="1">
        <v>51248</v>
      </c>
      <c r="I28" s="1">
        <v>50813</v>
      </c>
      <c r="J28" s="1">
        <v>50371</v>
      </c>
      <c r="K28" s="1">
        <v>49941</v>
      </c>
      <c r="L28" s="1">
        <v>49491</v>
      </c>
      <c r="M28" s="1">
        <v>49014</v>
      </c>
      <c r="N28" s="1">
        <v>48520</v>
      </c>
      <c r="O28" s="1">
        <v>48074</v>
      </c>
      <c r="P28" s="1">
        <v>47692</v>
      </c>
      <c r="Q28" s="1">
        <v>47342</v>
      </c>
      <c r="R28" s="1">
        <v>47003</v>
      </c>
      <c r="S28" s="1">
        <v>46685</v>
      </c>
      <c r="T28" s="1">
        <v>46407</v>
      </c>
      <c r="U28" s="1">
        <v>46156</v>
      </c>
      <c r="V28" s="1">
        <v>45951</v>
      </c>
      <c r="W28" s="1">
        <v>45768</v>
      </c>
      <c r="X28" s="1">
        <v>45604</v>
      </c>
      <c r="Y28" s="1">
        <v>45492</v>
      </c>
      <c r="Z28" s="1">
        <v>45389</v>
      </c>
      <c r="AA28" s="1">
        <v>44944</v>
      </c>
      <c r="AB28" s="1">
        <v>44429</v>
      </c>
      <c r="AC28" s="1">
        <v>44210</v>
      </c>
    </row>
    <row r="29" spans="1:29" x14ac:dyDescent="0.2">
      <c r="A29" s="5" t="s">
        <v>33</v>
      </c>
      <c r="B29" s="1">
        <v>20033</v>
      </c>
      <c r="C29" s="1">
        <v>20530</v>
      </c>
      <c r="D29" s="1">
        <v>21059</v>
      </c>
      <c r="E29" s="1">
        <v>21609</v>
      </c>
      <c r="F29" s="1">
        <v>22127</v>
      </c>
      <c r="G29" s="1">
        <v>22604</v>
      </c>
      <c r="H29" s="1">
        <v>23067</v>
      </c>
      <c r="I29" s="1">
        <v>23524</v>
      </c>
      <c r="J29" s="1">
        <v>23952</v>
      </c>
      <c r="K29" s="1">
        <v>24342</v>
      </c>
      <c r="L29" s="1">
        <v>24701</v>
      </c>
      <c r="M29" s="1">
        <v>25042</v>
      </c>
      <c r="N29" s="1">
        <v>25372</v>
      </c>
      <c r="O29" s="1">
        <v>25696</v>
      </c>
      <c r="P29" s="1">
        <v>25992</v>
      </c>
      <c r="Q29" s="1">
        <v>26268</v>
      </c>
      <c r="R29" s="1">
        <v>26540</v>
      </c>
      <c r="S29" s="1">
        <v>26810</v>
      </c>
      <c r="T29" s="1">
        <v>27079</v>
      </c>
      <c r="U29" s="1">
        <v>27345</v>
      </c>
      <c r="V29" s="1">
        <v>27606</v>
      </c>
      <c r="W29" s="1">
        <v>27866</v>
      </c>
      <c r="X29" s="1">
        <v>28128</v>
      </c>
      <c r="Y29" s="1">
        <v>28394</v>
      </c>
      <c r="Z29" s="1">
        <v>28661</v>
      </c>
      <c r="AA29" s="1">
        <v>28930</v>
      </c>
      <c r="AB29" s="1">
        <v>29200</v>
      </c>
      <c r="AC29" s="1">
        <v>29473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52687-1252-2B45-A2C4-7076C7CF048A}">
  <dimension ref="A1:AX30"/>
  <sheetViews>
    <sheetView workbookViewId="0">
      <selection activeCell="B61" sqref="B61"/>
    </sheetView>
  </sheetViews>
  <sheetFormatPr baseColWidth="10" defaultRowHeight="16" x14ac:dyDescent="0.2"/>
  <cols>
    <col min="1" max="16384" width="10.83203125" style="1"/>
  </cols>
  <sheetData>
    <row r="1" spans="1:50" x14ac:dyDescent="0.2">
      <c r="B1" s="1">
        <v>1970</v>
      </c>
      <c r="C1" s="1">
        <v>1971</v>
      </c>
      <c r="D1" s="1">
        <v>1972</v>
      </c>
      <c r="E1" s="1">
        <v>1973</v>
      </c>
      <c r="F1" s="1">
        <v>1974</v>
      </c>
      <c r="G1" s="1">
        <v>1975</v>
      </c>
      <c r="H1" s="1">
        <v>1976</v>
      </c>
      <c r="I1" s="1">
        <v>1977</v>
      </c>
      <c r="J1" s="1">
        <v>1978</v>
      </c>
      <c r="K1" s="1">
        <v>1979</v>
      </c>
      <c r="L1" s="1">
        <v>1980</v>
      </c>
      <c r="M1" s="1">
        <v>1981</v>
      </c>
      <c r="N1" s="1">
        <v>1982</v>
      </c>
      <c r="O1" s="1">
        <v>1983</v>
      </c>
      <c r="P1" s="1">
        <v>1984</v>
      </c>
      <c r="Q1" s="1">
        <v>1985</v>
      </c>
      <c r="R1" s="1">
        <v>1986</v>
      </c>
      <c r="S1" s="1">
        <v>1987</v>
      </c>
      <c r="T1" s="1">
        <v>1988</v>
      </c>
      <c r="U1" s="1">
        <v>1989</v>
      </c>
      <c r="V1" s="1">
        <v>1990</v>
      </c>
      <c r="W1" s="1">
        <v>1991</v>
      </c>
      <c r="X1" s="1">
        <v>1992</v>
      </c>
      <c r="Y1" s="1">
        <v>1993</v>
      </c>
      <c r="Z1" s="1">
        <v>1994</v>
      </c>
      <c r="AA1" s="1">
        <v>1995</v>
      </c>
      <c r="AB1" s="1">
        <v>1996</v>
      </c>
      <c r="AC1" s="1">
        <v>1997</v>
      </c>
      <c r="AD1" s="1">
        <v>1998</v>
      </c>
      <c r="AE1" s="1">
        <v>1999</v>
      </c>
      <c r="AF1" s="1">
        <v>2000</v>
      </c>
      <c r="AG1" s="1">
        <v>2001</v>
      </c>
      <c r="AH1" s="1">
        <v>2002</v>
      </c>
      <c r="AI1" s="1">
        <v>2003</v>
      </c>
      <c r="AJ1" s="1">
        <v>2004</v>
      </c>
      <c r="AK1" s="1">
        <v>2005</v>
      </c>
      <c r="AL1" s="1">
        <v>2006</v>
      </c>
      <c r="AM1" s="1">
        <v>2007</v>
      </c>
      <c r="AN1" s="1">
        <v>2008</v>
      </c>
      <c r="AO1" s="1">
        <v>2009</v>
      </c>
      <c r="AP1" s="1">
        <v>2010</v>
      </c>
      <c r="AQ1" s="1">
        <v>2011</v>
      </c>
      <c r="AR1" s="1">
        <v>2012</v>
      </c>
      <c r="AS1" s="1">
        <v>2013</v>
      </c>
      <c r="AT1" s="1">
        <v>2014</v>
      </c>
      <c r="AU1" s="1">
        <v>2015</v>
      </c>
      <c r="AV1" s="1">
        <v>2016</v>
      </c>
      <c r="AW1" s="1">
        <v>2017</v>
      </c>
      <c r="AX1" s="1">
        <v>2018</v>
      </c>
    </row>
    <row r="2" spans="1:50" x14ac:dyDescent="0.2">
      <c r="A2" s="1" t="s">
        <v>27</v>
      </c>
      <c r="B2" s="1">
        <v>2135479</v>
      </c>
      <c r="C2" s="1">
        <v>2187853</v>
      </c>
      <c r="D2" s="1">
        <v>2243126</v>
      </c>
      <c r="E2" s="1">
        <v>2296752</v>
      </c>
      <c r="F2" s="1">
        <v>2350124</v>
      </c>
      <c r="G2" s="1">
        <v>2404831</v>
      </c>
      <c r="H2" s="1">
        <v>2458526</v>
      </c>
      <c r="I2" s="1">
        <v>2513546</v>
      </c>
      <c r="J2" s="1">
        <v>2566266</v>
      </c>
      <c r="K2" s="1">
        <v>2617832</v>
      </c>
      <c r="L2" s="1">
        <v>2671997</v>
      </c>
      <c r="M2" s="1">
        <v>2726056</v>
      </c>
      <c r="N2" s="1">
        <v>2784278</v>
      </c>
      <c r="O2" s="1">
        <v>2843960</v>
      </c>
      <c r="P2" s="1">
        <v>2904429</v>
      </c>
      <c r="Q2" s="1">
        <v>2964762</v>
      </c>
      <c r="R2" s="1">
        <v>3022635</v>
      </c>
      <c r="S2" s="1">
        <v>3083605</v>
      </c>
      <c r="T2" s="1">
        <v>3142336</v>
      </c>
      <c r="U2" s="1">
        <v>3227943</v>
      </c>
      <c r="V2" s="1">
        <v>3286542</v>
      </c>
      <c r="W2" s="1">
        <v>3266790</v>
      </c>
      <c r="X2" s="1">
        <v>3247039</v>
      </c>
      <c r="Y2" s="1">
        <v>3227287</v>
      </c>
      <c r="Z2" s="1">
        <v>3207536</v>
      </c>
      <c r="AA2" s="1">
        <v>3187784</v>
      </c>
      <c r="AB2" s="1">
        <v>3168033</v>
      </c>
      <c r="AC2" s="1">
        <v>3148281</v>
      </c>
      <c r="AD2" s="1">
        <v>3128530</v>
      </c>
      <c r="AE2" s="1">
        <v>3108778</v>
      </c>
      <c r="AF2" s="1">
        <v>3089027</v>
      </c>
      <c r="AG2" s="1">
        <v>3060173</v>
      </c>
      <c r="AH2" s="1">
        <v>3051010</v>
      </c>
      <c r="AI2" s="1">
        <v>3039616</v>
      </c>
      <c r="AJ2" s="1">
        <v>3026939</v>
      </c>
      <c r="AK2" s="1">
        <v>3011487</v>
      </c>
      <c r="AL2" s="1">
        <v>2992547</v>
      </c>
      <c r="AM2" s="1">
        <v>2970017</v>
      </c>
      <c r="AN2" s="1">
        <v>2947314</v>
      </c>
      <c r="AO2" s="1">
        <v>2927519</v>
      </c>
      <c r="AP2" s="1">
        <v>2913021</v>
      </c>
      <c r="AQ2" s="1">
        <v>2905195</v>
      </c>
      <c r="AR2" s="1">
        <v>2900401</v>
      </c>
      <c r="AS2" s="1">
        <v>2895092</v>
      </c>
      <c r="AT2" s="1">
        <v>2889104</v>
      </c>
      <c r="AU2" s="1">
        <v>2880703</v>
      </c>
      <c r="AV2" s="1">
        <v>2876101</v>
      </c>
      <c r="AW2" s="1">
        <v>2873457</v>
      </c>
      <c r="AX2" s="1">
        <v>2866376</v>
      </c>
    </row>
    <row r="3" spans="1:50" x14ac:dyDescent="0.2">
      <c r="A3" s="1" t="s">
        <v>23</v>
      </c>
      <c r="B3" s="1">
        <v>2525065</v>
      </c>
      <c r="C3" s="1">
        <v>2587706</v>
      </c>
      <c r="D3" s="1">
        <v>2650484</v>
      </c>
      <c r="E3" s="1">
        <v>2712781</v>
      </c>
      <c r="F3" s="1">
        <v>2773747</v>
      </c>
      <c r="G3" s="1">
        <v>2832757</v>
      </c>
      <c r="H3" s="1">
        <v>2889579</v>
      </c>
      <c r="I3" s="1">
        <v>2944379</v>
      </c>
      <c r="J3" s="1">
        <v>2997411</v>
      </c>
      <c r="K3" s="1">
        <v>3049105</v>
      </c>
      <c r="L3" s="1">
        <v>3099751</v>
      </c>
      <c r="M3" s="1">
        <v>3148092</v>
      </c>
      <c r="N3" s="1">
        <v>3193686</v>
      </c>
      <c r="O3" s="1">
        <v>3238594</v>
      </c>
      <c r="P3" s="1">
        <v>3285595</v>
      </c>
      <c r="Q3" s="1">
        <v>3335935</v>
      </c>
      <c r="R3" s="1">
        <v>3392256</v>
      </c>
      <c r="S3" s="1">
        <v>3451942</v>
      </c>
      <c r="T3" s="1">
        <v>3504651</v>
      </c>
      <c r="U3" s="1">
        <v>3536469</v>
      </c>
      <c r="V3" s="1">
        <v>3538165</v>
      </c>
      <c r="W3" s="1">
        <v>3505251</v>
      </c>
      <c r="X3" s="1">
        <v>3442810</v>
      </c>
      <c r="Y3" s="1">
        <v>3363098</v>
      </c>
      <c r="Z3" s="1">
        <v>3283660</v>
      </c>
      <c r="AA3" s="1">
        <v>3217342</v>
      </c>
      <c r="AB3" s="1">
        <v>3168215</v>
      </c>
      <c r="AC3" s="1">
        <v>3133086</v>
      </c>
      <c r="AD3" s="1">
        <v>3108684</v>
      </c>
      <c r="AE3" s="1">
        <v>3089017</v>
      </c>
      <c r="AF3" s="1">
        <v>3069588</v>
      </c>
      <c r="AG3" s="1">
        <v>3050655</v>
      </c>
      <c r="AH3" s="1">
        <v>3033897</v>
      </c>
      <c r="AI3" s="1">
        <v>3017806</v>
      </c>
      <c r="AJ3" s="1">
        <v>3000612</v>
      </c>
      <c r="AK3" s="1">
        <v>2981259</v>
      </c>
      <c r="AL3" s="1">
        <v>2958500</v>
      </c>
      <c r="AM3" s="1">
        <v>2933056</v>
      </c>
      <c r="AN3" s="1">
        <v>2908220</v>
      </c>
      <c r="AO3" s="1">
        <v>2888584</v>
      </c>
      <c r="AP3" s="1">
        <v>2877311</v>
      </c>
      <c r="AQ3" s="1">
        <v>2875581</v>
      </c>
      <c r="AR3" s="1">
        <v>2881922</v>
      </c>
      <c r="AS3" s="1">
        <v>2893509</v>
      </c>
      <c r="AT3" s="1">
        <v>2906220</v>
      </c>
      <c r="AU3" s="1">
        <v>2916950</v>
      </c>
      <c r="AV3" s="1">
        <v>2924816</v>
      </c>
      <c r="AW3" s="1">
        <v>2930450</v>
      </c>
      <c r="AX3" s="1">
        <v>2951776</v>
      </c>
    </row>
    <row r="4" spans="1:50" x14ac:dyDescent="0.2">
      <c r="A4" s="1" t="s">
        <v>29</v>
      </c>
      <c r="B4" s="1">
        <v>5180025</v>
      </c>
      <c r="C4" s="1">
        <v>5284532</v>
      </c>
      <c r="D4" s="1">
        <v>5385267</v>
      </c>
      <c r="E4" s="1">
        <v>5483084</v>
      </c>
      <c r="F4" s="1">
        <v>5579077</v>
      </c>
      <c r="G4" s="1">
        <v>5674137</v>
      </c>
      <c r="H4" s="1">
        <v>5768724</v>
      </c>
      <c r="I4" s="1">
        <v>5863134</v>
      </c>
      <c r="J4" s="1">
        <v>5957929</v>
      </c>
      <c r="K4" s="1">
        <v>6053645</v>
      </c>
      <c r="L4" s="1">
        <v>6150738</v>
      </c>
      <c r="M4" s="1">
        <v>6249320</v>
      </c>
      <c r="N4" s="1">
        <v>6349558</v>
      </c>
      <c r="O4" s="1">
        <v>6452076</v>
      </c>
      <c r="P4" s="1">
        <v>6557585</v>
      </c>
      <c r="Q4" s="1">
        <v>6666455</v>
      </c>
      <c r="R4" s="1">
        <v>6778633</v>
      </c>
      <c r="S4" s="1">
        <v>6893500</v>
      </c>
      <c r="T4" s="1">
        <v>7010036</v>
      </c>
      <c r="U4" s="1">
        <v>7126891</v>
      </c>
      <c r="V4" s="1">
        <v>7159000</v>
      </c>
      <c r="W4" s="1">
        <v>7271000</v>
      </c>
      <c r="X4" s="1">
        <v>7382000</v>
      </c>
      <c r="Y4" s="1">
        <v>7495000</v>
      </c>
      <c r="Z4" s="1">
        <v>7597000</v>
      </c>
      <c r="AA4" s="1">
        <v>7685000</v>
      </c>
      <c r="AB4" s="1">
        <v>7763000</v>
      </c>
      <c r="AC4" s="1">
        <v>7838250</v>
      </c>
      <c r="AD4" s="1">
        <v>7913000</v>
      </c>
      <c r="AE4" s="1">
        <v>7982750</v>
      </c>
      <c r="AF4" s="1">
        <v>8048600</v>
      </c>
      <c r="AG4" s="1">
        <v>8111200</v>
      </c>
      <c r="AH4" s="1">
        <v>8171950</v>
      </c>
      <c r="AI4" s="1">
        <v>8234100</v>
      </c>
      <c r="AJ4" s="1">
        <v>8306500</v>
      </c>
      <c r="AK4" s="1">
        <v>8391850</v>
      </c>
      <c r="AL4" s="1">
        <v>8484550</v>
      </c>
      <c r="AM4" s="1">
        <v>8581300</v>
      </c>
      <c r="AN4" s="1">
        <v>8763400</v>
      </c>
      <c r="AO4" s="1">
        <v>8947243</v>
      </c>
      <c r="AP4" s="1">
        <v>9054332</v>
      </c>
      <c r="AQ4" s="1">
        <v>9173082</v>
      </c>
      <c r="AR4" s="1">
        <v>9295784</v>
      </c>
      <c r="AS4" s="1">
        <v>9416801</v>
      </c>
      <c r="AT4" s="1">
        <v>9535079</v>
      </c>
      <c r="AU4" s="1">
        <v>9649341</v>
      </c>
      <c r="AV4" s="1">
        <v>9757812</v>
      </c>
      <c r="AW4" s="1">
        <v>9862429</v>
      </c>
      <c r="AX4" s="1">
        <v>9939800</v>
      </c>
    </row>
    <row r="5" spans="1:50" x14ac:dyDescent="0.2">
      <c r="A5" s="1" t="s">
        <v>3</v>
      </c>
      <c r="B5" s="1">
        <v>9040000</v>
      </c>
      <c r="C5" s="1">
        <v>9115576</v>
      </c>
      <c r="D5" s="1">
        <v>9188968</v>
      </c>
      <c r="E5" s="1">
        <v>9257272</v>
      </c>
      <c r="F5" s="1">
        <v>9317584</v>
      </c>
      <c r="G5" s="1">
        <v>9367000</v>
      </c>
      <c r="H5" s="1">
        <v>9411000</v>
      </c>
      <c r="I5" s="1">
        <v>9463000</v>
      </c>
      <c r="J5" s="1">
        <v>9525000</v>
      </c>
      <c r="K5" s="1">
        <v>9584000</v>
      </c>
      <c r="L5" s="1">
        <v>9643000</v>
      </c>
      <c r="M5" s="1">
        <v>9710000</v>
      </c>
      <c r="N5" s="1">
        <v>9776000</v>
      </c>
      <c r="O5" s="1">
        <v>9843000</v>
      </c>
      <c r="P5" s="1">
        <v>9910000</v>
      </c>
      <c r="Q5" s="1">
        <v>9975000</v>
      </c>
      <c r="R5" s="1">
        <v>10043000</v>
      </c>
      <c r="S5" s="1">
        <v>10111000</v>
      </c>
      <c r="T5" s="1">
        <v>10140000</v>
      </c>
      <c r="U5" s="1">
        <v>10170000</v>
      </c>
      <c r="V5" s="1">
        <v>10189000</v>
      </c>
      <c r="W5" s="1">
        <v>10194000</v>
      </c>
      <c r="X5" s="1">
        <v>10216000</v>
      </c>
      <c r="Y5" s="1">
        <v>10239000</v>
      </c>
      <c r="Z5" s="1">
        <v>10227000</v>
      </c>
      <c r="AA5" s="1">
        <v>10194000</v>
      </c>
      <c r="AB5" s="1">
        <v>10160000</v>
      </c>
      <c r="AC5" s="1">
        <v>10117000</v>
      </c>
      <c r="AD5" s="1">
        <v>10069000</v>
      </c>
      <c r="AE5" s="1">
        <v>10026738</v>
      </c>
      <c r="AF5" s="1">
        <v>9979610</v>
      </c>
      <c r="AG5" s="1">
        <v>9928549</v>
      </c>
      <c r="AH5" s="1">
        <v>9865548</v>
      </c>
      <c r="AI5" s="1">
        <v>9796749</v>
      </c>
      <c r="AJ5" s="1">
        <v>9730146</v>
      </c>
      <c r="AK5" s="1">
        <v>9663915</v>
      </c>
      <c r="AL5" s="1">
        <v>9604924</v>
      </c>
      <c r="AM5" s="1">
        <v>9560953</v>
      </c>
      <c r="AN5" s="1">
        <v>9527985</v>
      </c>
      <c r="AO5" s="1">
        <v>9506765</v>
      </c>
      <c r="AP5" s="1">
        <v>9490583</v>
      </c>
      <c r="AQ5" s="1">
        <v>9473172</v>
      </c>
      <c r="AR5" s="1">
        <v>9464495</v>
      </c>
      <c r="AS5" s="1">
        <v>9465997</v>
      </c>
      <c r="AT5" s="1">
        <v>9474511</v>
      </c>
      <c r="AU5" s="1">
        <v>9489616</v>
      </c>
      <c r="AV5" s="1">
        <v>9501534</v>
      </c>
      <c r="AW5" s="1">
        <v>9507875</v>
      </c>
      <c r="AX5" s="1">
        <v>9483499</v>
      </c>
    </row>
    <row r="6" spans="1:50" x14ac:dyDescent="0.2">
      <c r="A6" s="1" t="s">
        <v>36</v>
      </c>
      <c r="B6" s="1">
        <v>3760527</v>
      </c>
      <c r="C6" s="1">
        <v>3805285</v>
      </c>
      <c r="D6" s="1">
        <v>3851151</v>
      </c>
      <c r="E6" s="1">
        <v>3897255</v>
      </c>
      <c r="F6" s="1">
        <v>3942223</v>
      </c>
      <c r="G6" s="1">
        <v>3985103</v>
      </c>
      <c r="H6" s="1">
        <v>4025265</v>
      </c>
      <c r="I6" s="1">
        <v>4063191</v>
      </c>
      <c r="J6" s="1">
        <v>4100350</v>
      </c>
      <c r="K6" s="1">
        <v>4138819</v>
      </c>
      <c r="L6" s="1">
        <v>4179855</v>
      </c>
      <c r="M6" s="1">
        <v>4222511</v>
      </c>
      <c r="N6" s="1">
        <v>4265310</v>
      </c>
      <c r="O6" s="1">
        <v>4308106</v>
      </c>
      <c r="P6" s="1">
        <v>4350746</v>
      </c>
      <c r="Q6" s="1">
        <v>4392130</v>
      </c>
      <c r="R6" s="1">
        <v>4435504</v>
      </c>
      <c r="S6" s="1">
        <v>4478519</v>
      </c>
      <c r="T6" s="1">
        <v>4508056</v>
      </c>
      <c r="U6" s="1">
        <v>4506653</v>
      </c>
      <c r="V6" s="1">
        <v>4463422</v>
      </c>
      <c r="W6" s="1">
        <v>4371603</v>
      </c>
      <c r="X6" s="1">
        <v>4239154</v>
      </c>
      <c r="Y6" s="1">
        <v>4087999</v>
      </c>
      <c r="Z6" s="1">
        <v>3948816</v>
      </c>
      <c r="AA6" s="1">
        <v>3843712</v>
      </c>
      <c r="AB6" s="1">
        <v>3780378</v>
      </c>
      <c r="AC6" s="1">
        <v>3752431</v>
      </c>
      <c r="AD6" s="1">
        <v>3750485</v>
      </c>
      <c r="AE6" s="1">
        <v>3759118</v>
      </c>
      <c r="AF6" s="1">
        <v>3766706</v>
      </c>
      <c r="AG6" s="1">
        <v>3771284</v>
      </c>
      <c r="AH6" s="1">
        <v>3775807</v>
      </c>
      <c r="AI6" s="1">
        <v>3779247</v>
      </c>
      <c r="AJ6" s="1">
        <v>3781287</v>
      </c>
      <c r="AK6" s="1">
        <v>3781530</v>
      </c>
      <c r="AL6" s="1">
        <v>3779468</v>
      </c>
      <c r="AM6" s="1">
        <v>3774000</v>
      </c>
      <c r="AN6" s="1">
        <v>3763599</v>
      </c>
      <c r="AO6" s="1">
        <v>3746561</v>
      </c>
      <c r="AP6" s="1">
        <v>3722084</v>
      </c>
      <c r="AQ6" s="1">
        <v>3688865</v>
      </c>
      <c r="AR6" s="1">
        <v>3648200</v>
      </c>
      <c r="AS6" s="1">
        <v>3604999</v>
      </c>
      <c r="AT6" s="1">
        <v>3566002</v>
      </c>
      <c r="AU6" s="1">
        <v>3535961</v>
      </c>
      <c r="AV6" s="1">
        <v>3516816</v>
      </c>
      <c r="AW6" s="1">
        <v>3507017</v>
      </c>
      <c r="AX6" s="1">
        <v>3323929</v>
      </c>
    </row>
    <row r="7" spans="1:50" x14ac:dyDescent="0.2">
      <c r="A7" s="1" t="s">
        <v>22</v>
      </c>
      <c r="B7" s="1">
        <v>8489574</v>
      </c>
      <c r="C7" s="1">
        <v>8536395</v>
      </c>
      <c r="D7" s="1">
        <v>8576200</v>
      </c>
      <c r="E7" s="1">
        <v>8620967</v>
      </c>
      <c r="F7" s="1">
        <v>8678745</v>
      </c>
      <c r="G7" s="1">
        <v>8720742</v>
      </c>
      <c r="H7" s="1">
        <v>8758599</v>
      </c>
      <c r="I7" s="1">
        <v>8804183</v>
      </c>
      <c r="J7" s="1">
        <v>8814032</v>
      </c>
      <c r="K7" s="1">
        <v>8825940</v>
      </c>
      <c r="L7" s="1">
        <v>8861535</v>
      </c>
      <c r="M7" s="1">
        <v>8891117</v>
      </c>
      <c r="N7" s="1">
        <v>8917457</v>
      </c>
      <c r="O7" s="1">
        <v>8939738</v>
      </c>
      <c r="P7" s="1">
        <v>8960679</v>
      </c>
      <c r="Q7" s="1">
        <v>8960547</v>
      </c>
      <c r="R7" s="1">
        <v>8958171</v>
      </c>
      <c r="S7" s="1">
        <v>8971359</v>
      </c>
      <c r="T7" s="1">
        <v>8981446</v>
      </c>
      <c r="U7" s="1">
        <v>8876972</v>
      </c>
      <c r="V7" s="1">
        <v>8718289</v>
      </c>
      <c r="W7" s="1">
        <v>8632367</v>
      </c>
      <c r="X7" s="1">
        <v>8540164</v>
      </c>
      <c r="Y7" s="1">
        <v>8472313</v>
      </c>
      <c r="Z7" s="1">
        <v>8443591</v>
      </c>
      <c r="AA7" s="1">
        <v>8406067</v>
      </c>
      <c r="AB7" s="1">
        <v>8362826</v>
      </c>
      <c r="AC7" s="1">
        <v>8312068</v>
      </c>
      <c r="AD7" s="1">
        <v>8256786</v>
      </c>
      <c r="AE7" s="1">
        <v>8210624</v>
      </c>
      <c r="AF7" s="1">
        <v>8170172</v>
      </c>
      <c r="AG7" s="1">
        <v>8009142</v>
      </c>
      <c r="AH7" s="1">
        <v>7837161</v>
      </c>
      <c r="AI7" s="1">
        <v>7775327</v>
      </c>
      <c r="AJ7" s="1">
        <v>7716860</v>
      </c>
      <c r="AK7" s="1">
        <v>7658972</v>
      </c>
      <c r="AL7" s="1">
        <v>7601022</v>
      </c>
      <c r="AM7" s="1">
        <v>7545338</v>
      </c>
      <c r="AN7" s="1">
        <v>7492561</v>
      </c>
      <c r="AO7" s="1">
        <v>7444443</v>
      </c>
      <c r="AP7" s="1">
        <v>7395599</v>
      </c>
      <c r="AQ7" s="1">
        <v>7348328</v>
      </c>
      <c r="AR7" s="1">
        <v>7305888</v>
      </c>
      <c r="AS7" s="1">
        <v>7265115</v>
      </c>
      <c r="AT7" s="1">
        <v>7223938</v>
      </c>
      <c r="AU7" s="1">
        <v>7177991</v>
      </c>
      <c r="AV7" s="1">
        <v>7127822</v>
      </c>
      <c r="AW7" s="1">
        <v>7075991</v>
      </c>
      <c r="AX7" s="1">
        <v>7025037</v>
      </c>
    </row>
    <row r="8" spans="1:50" x14ac:dyDescent="0.2">
      <c r="A8" s="1" t="s">
        <v>12</v>
      </c>
      <c r="B8" s="1">
        <v>4411000</v>
      </c>
      <c r="C8" s="1">
        <v>4435000</v>
      </c>
      <c r="D8" s="1">
        <v>4457000</v>
      </c>
      <c r="E8" s="1">
        <v>4478000</v>
      </c>
      <c r="F8" s="1">
        <v>4497000</v>
      </c>
      <c r="G8" s="1">
        <v>4514000</v>
      </c>
      <c r="H8" s="1">
        <v>4530000</v>
      </c>
      <c r="I8" s="1">
        <v>4532000</v>
      </c>
      <c r="J8" s="1">
        <v>4556000</v>
      </c>
      <c r="K8" s="1">
        <v>4571000</v>
      </c>
      <c r="L8" s="1">
        <v>4588000</v>
      </c>
      <c r="M8" s="1">
        <v>4608000</v>
      </c>
      <c r="N8" s="1">
        <v>4635000</v>
      </c>
      <c r="O8" s="1">
        <v>4659000</v>
      </c>
      <c r="P8" s="1">
        <v>4680000</v>
      </c>
      <c r="Q8" s="1">
        <v>4701000</v>
      </c>
      <c r="R8" s="1">
        <v>4722000</v>
      </c>
      <c r="S8" s="1">
        <v>4740000</v>
      </c>
      <c r="T8" s="1">
        <v>4757000</v>
      </c>
      <c r="U8" s="1">
        <v>4767000</v>
      </c>
      <c r="V8" s="1">
        <v>4780000</v>
      </c>
      <c r="W8" s="1">
        <v>4510000</v>
      </c>
      <c r="X8" s="1">
        <v>4470000</v>
      </c>
      <c r="Y8" s="1">
        <v>4640000</v>
      </c>
      <c r="Z8" s="1">
        <v>4650000</v>
      </c>
      <c r="AA8" s="1">
        <v>4669000</v>
      </c>
      <c r="AB8" s="1">
        <v>4494000</v>
      </c>
      <c r="AC8" s="1">
        <v>4572000</v>
      </c>
      <c r="AD8" s="1">
        <v>4501000</v>
      </c>
      <c r="AE8" s="1">
        <v>4554000</v>
      </c>
      <c r="AF8" s="1">
        <v>4426000</v>
      </c>
      <c r="AG8" s="1">
        <v>4440000</v>
      </c>
      <c r="AH8" s="1">
        <v>4440000</v>
      </c>
      <c r="AI8" s="1">
        <v>4440000</v>
      </c>
      <c r="AJ8" s="1">
        <v>4439000</v>
      </c>
      <c r="AK8" s="1">
        <v>4442000</v>
      </c>
      <c r="AL8" s="1">
        <v>4440000</v>
      </c>
      <c r="AM8" s="1">
        <v>4436000</v>
      </c>
      <c r="AN8" s="1">
        <v>4434508</v>
      </c>
      <c r="AO8" s="1">
        <v>4429078</v>
      </c>
      <c r="AP8" s="1">
        <v>4417781</v>
      </c>
      <c r="AQ8" s="1">
        <v>4280622</v>
      </c>
      <c r="AR8" s="1">
        <v>4267558</v>
      </c>
      <c r="AS8" s="1">
        <v>4255689</v>
      </c>
      <c r="AT8" s="1">
        <v>4238389</v>
      </c>
      <c r="AU8" s="1">
        <v>4203604</v>
      </c>
      <c r="AV8" s="1">
        <v>4174349</v>
      </c>
      <c r="AW8" s="1">
        <v>4125700</v>
      </c>
      <c r="AX8" s="1">
        <v>4087843</v>
      </c>
    </row>
    <row r="9" spans="1:50" x14ac:dyDescent="0.2">
      <c r="A9" s="1" t="s">
        <v>37</v>
      </c>
      <c r="B9" s="1">
        <v>9858071</v>
      </c>
      <c r="C9" s="1">
        <v>9826815</v>
      </c>
      <c r="D9" s="1">
        <v>9867632</v>
      </c>
      <c r="E9" s="1">
        <v>9922266</v>
      </c>
      <c r="F9" s="1">
        <v>9988459</v>
      </c>
      <c r="G9" s="1">
        <v>10058620</v>
      </c>
      <c r="H9" s="1">
        <v>10125939</v>
      </c>
      <c r="I9" s="1">
        <v>10186755</v>
      </c>
      <c r="J9" s="1">
        <v>10242098</v>
      </c>
      <c r="K9" s="1">
        <v>10292341</v>
      </c>
      <c r="L9" s="1">
        <v>10304193</v>
      </c>
      <c r="M9" s="1">
        <v>10300591</v>
      </c>
      <c r="N9" s="1">
        <v>10314826</v>
      </c>
      <c r="O9" s="1">
        <v>10323856</v>
      </c>
      <c r="P9" s="1">
        <v>10330213</v>
      </c>
      <c r="Q9" s="1">
        <v>10337118</v>
      </c>
      <c r="R9" s="1">
        <v>10342227</v>
      </c>
      <c r="S9" s="1">
        <v>10347318</v>
      </c>
      <c r="T9" s="1">
        <v>10355276</v>
      </c>
      <c r="U9" s="1">
        <v>10361068</v>
      </c>
      <c r="V9" s="1">
        <v>10333355</v>
      </c>
      <c r="W9" s="1">
        <v>10308578</v>
      </c>
      <c r="X9" s="1">
        <v>10319123</v>
      </c>
      <c r="Y9" s="1">
        <v>10329855</v>
      </c>
      <c r="Z9" s="1">
        <v>10333587</v>
      </c>
      <c r="AA9" s="1">
        <v>10327253</v>
      </c>
      <c r="AB9" s="1">
        <v>10315241</v>
      </c>
      <c r="AC9" s="1">
        <v>10304131</v>
      </c>
      <c r="AD9" s="1">
        <v>10294373</v>
      </c>
      <c r="AE9" s="1">
        <v>10283860</v>
      </c>
      <c r="AF9" s="1">
        <v>10255063</v>
      </c>
      <c r="AG9" s="1">
        <v>10216605</v>
      </c>
      <c r="AH9" s="1">
        <v>10196916</v>
      </c>
      <c r="AI9" s="1">
        <v>10193998</v>
      </c>
      <c r="AJ9" s="1">
        <v>10197101</v>
      </c>
      <c r="AK9" s="1">
        <v>10211216</v>
      </c>
      <c r="AL9" s="1">
        <v>10238905</v>
      </c>
      <c r="AM9" s="1">
        <v>10298828</v>
      </c>
      <c r="AN9" s="1">
        <v>10384603</v>
      </c>
      <c r="AO9" s="1">
        <v>10443936</v>
      </c>
      <c r="AP9" s="1">
        <v>10474410</v>
      </c>
      <c r="AQ9" s="1">
        <v>10496088</v>
      </c>
      <c r="AR9" s="1">
        <v>10510785</v>
      </c>
      <c r="AS9" s="1">
        <v>10514272</v>
      </c>
      <c r="AT9" s="1">
        <v>10525347</v>
      </c>
      <c r="AU9" s="1">
        <v>10546059</v>
      </c>
      <c r="AV9" s="1">
        <v>10566332</v>
      </c>
      <c r="AW9" s="1">
        <v>10591323</v>
      </c>
      <c r="AX9" s="1">
        <v>10629928</v>
      </c>
    </row>
    <row r="10" spans="1:50" x14ac:dyDescent="0.2">
      <c r="A10" s="1" t="s">
        <v>13</v>
      </c>
      <c r="B10" s="1">
        <v>1360076</v>
      </c>
      <c r="C10" s="1">
        <v>1376955</v>
      </c>
      <c r="D10" s="1">
        <v>1392518</v>
      </c>
      <c r="E10" s="1">
        <v>1405951</v>
      </c>
      <c r="F10" s="1">
        <v>1418169</v>
      </c>
      <c r="G10" s="1">
        <v>1429352</v>
      </c>
      <c r="H10" s="1">
        <v>1439576</v>
      </c>
      <c r="I10" s="1">
        <v>1450211</v>
      </c>
      <c r="J10" s="1">
        <v>1460188</v>
      </c>
      <c r="K10" s="1">
        <v>1468333</v>
      </c>
      <c r="L10" s="1">
        <v>1477219</v>
      </c>
      <c r="M10" s="1">
        <v>1487666</v>
      </c>
      <c r="N10" s="1">
        <v>1498414</v>
      </c>
      <c r="O10" s="1">
        <v>1508745</v>
      </c>
      <c r="P10" s="1">
        <v>1518617</v>
      </c>
      <c r="Q10" s="1">
        <v>1528781</v>
      </c>
      <c r="R10" s="1">
        <v>1540190</v>
      </c>
      <c r="S10" s="1">
        <v>1552221</v>
      </c>
      <c r="T10" s="1">
        <v>1561900</v>
      </c>
      <c r="U10" s="1">
        <v>1568131</v>
      </c>
      <c r="V10" s="1">
        <v>1569174</v>
      </c>
      <c r="W10" s="1">
        <v>1561314</v>
      </c>
      <c r="X10" s="1">
        <v>1533091</v>
      </c>
      <c r="Y10" s="1">
        <v>1494128</v>
      </c>
      <c r="Z10" s="1">
        <v>1462514</v>
      </c>
      <c r="AA10" s="1">
        <v>1436634</v>
      </c>
      <c r="AB10" s="1">
        <v>1415594</v>
      </c>
      <c r="AC10" s="1">
        <v>1399535</v>
      </c>
      <c r="AD10" s="1">
        <v>1386156</v>
      </c>
      <c r="AE10" s="1">
        <v>1390244</v>
      </c>
      <c r="AF10" s="1">
        <v>1396985</v>
      </c>
      <c r="AG10" s="1">
        <v>1388115</v>
      </c>
      <c r="AH10" s="1">
        <v>1379350</v>
      </c>
      <c r="AI10" s="1">
        <v>1370720</v>
      </c>
      <c r="AJ10" s="1">
        <v>1362550</v>
      </c>
      <c r="AK10" s="1">
        <v>1354775</v>
      </c>
      <c r="AL10" s="1">
        <v>1346810</v>
      </c>
      <c r="AM10" s="1">
        <v>1340680</v>
      </c>
      <c r="AN10" s="1">
        <v>1337090</v>
      </c>
      <c r="AO10" s="1">
        <v>1334515</v>
      </c>
      <c r="AP10" s="1">
        <v>1331475</v>
      </c>
      <c r="AQ10" s="1">
        <v>1327439</v>
      </c>
      <c r="AR10" s="1">
        <v>1322696</v>
      </c>
      <c r="AS10" s="1">
        <v>1317997</v>
      </c>
      <c r="AT10" s="1">
        <v>1314545</v>
      </c>
      <c r="AU10" s="1">
        <v>1315407</v>
      </c>
      <c r="AV10" s="1">
        <v>1315790</v>
      </c>
      <c r="AW10" s="1">
        <v>1315480</v>
      </c>
      <c r="AX10" s="1">
        <v>1321977</v>
      </c>
    </row>
    <row r="11" spans="1:50" x14ac:dyDescent="0.2">
      <c r="A11" s="1" t="s">
        <v>26</v>
      </c>
      <c r="B11" s="1">
        <v>4119900</v>
      </c>
      <c r="C11" s="1">
        <v>4163000</v>
      </c>
      <c r="D11" s="1">
        <v>4205300</v>
      </c>
      <c r="E11" s="1">
        <v>4242500</v>
      </c>
      <c r="F11" s="1">
        <v>4279500</v>
      </c>
      <c r="G11" s="1">
        <v>4311200</v>
      </c>
      <c r="H11" s="1">
        <v>4342400</v>
      </c>
      <c r="I11" s="1">
        <v>4372100</v>
      </c>
      <c r="J11" s="1">
        <v>4397700</v>
      </c>
      <c r="K11" s="1">
        <v>4430200</v>
      </c>
      <c r="L11" s="1">
        <v>4467700</v>
      </c>
      <c r="M11" s="1">
        <v>4504500</v>
      </c>
      <c r="N11" s="1">
        <v>4542800</v>
      </c>
      <c r="O11" s="1">
        <v>4582900</v>
      </c>
      <c r="P11" s="1">
        <v>4622200</v>
      </c>
      <c r="Q11" s="1">
        <v>4662900</v>
      </c>
      <c r="R11" s="1">
        <v>4704500</v>
      </c>
      <c r="S11" s="1">
        <v>4743500</v>
      </c>
      <c r="T11" s="1">
        <v>4790700</v>
      </c>
      <c r="U11" s="1">
        <v>4803300</v>
      </c>
      <c r="V11" s="1">
        <v>4802000</v>
      </c>
      <c r="W11" s="1">
        <v>4835900</v>
      </c>
      <c r="X11" s="1">
        <v>4873500</v>
      </c>
      <c r="Y11" s="1">
        <v>4911100</v>
      </c>
      <c r="Z11" s="1">
        <v>4861600</v>
      </c>
      <c r="AA11" s="1">
        <v>4734000</v>
      </c>
      <c r="AB11" s="1">
        <v>4616100</v>
      </c>
      <c r="AC11" s="1">
        <v>4531600</v>
      </c>
      <c r="AD11" s="1">
        <v>4487300</v>
      </c>
      <c r="AE11" s="1">
        <v>4452500</v>
      </c>
      <c r="AF11" s="1">
        <v>4418300</v>
      </c>
      <c r="AG11" s="1">
        <v>4386400</v>
      </c>
      <c r="AH11" s="1">
        <v>4357000</v>
      </c>
      <c r="AI11" s="1">
        <v>4301000</v>
      </c>
      <c r="AJ11" s="1">
        <v>4245000</v>
      </c>
      <c r="AK11" s="1">
        <v>4190000</v>
      </c>
      <c r="AL11" s="1">
        <v>4136000</v>
      </c>
      <c r="AM11" s="1">
        <v>4082000</v>
      </c>
      <c r="AN11" s="1">
        <v>4030000</v>
      </c>
      <c r="AO11" s="1">
        <v>3978000</v>
      </c>
      <c r="AP11" s="1">
        <v>3926000</v>
      </c>
      <c r="AQ11" s="1">
        <v>3875000</v>
      </c>
      <c r="AR11" s="1">
        <v>3825000</v>
      </c>
      <c r="AS11" s="1">
        <v>3776000</v>
      </c>
      <c r="AT11" s="1">
        <v>3727000</v>
      </c>
      <c r="AU11" s="1">
        <v>3717100</v>
      </c>
      <c r="AV11" s="1">
        <v>3719300</v>
      </c>
      <c r="AW11" s="1">
        <v>3717100</v>
      </c>
      <c r="AX11" s="1">
        <v>3726549</v>
      </c>
    </row>
    <row r="12" spans="1:50" x14ac:dyDescent="0.2">
      <c r="A12" s="1" t="s">
        <v>9</v>
      </c>
      <c r="B12" s="1">
        <v>10337910</v>
      </c>
      <c r="C12" s="1">
        <v>10367537</v>
      </c>
      <c r="D12" s="1">
        <v>10398489</v>
      </c>
      <c r="E12" s="1">
        <v>10432055</v>
      </c>
      <c r="F12" s="1">
        <v>10478720</v>
      </c>
      <c r="G12" s="1">
        <v>10540525</v>
      </c>
      <c r="H12" s="1">
        <v>10598677</v>
      </c>
      <c r="I12" s="1">
        <v>10648031</v>
      </c>
      <c r="J12" s="1">
        <v>10684822</v>
      </c>
      <c r="K12" s="1">
        <v>10704152</v>
      </c>
      <c r="L12" s="1">
        <v>10711122</v>
      </c>
      <c r="M12" s="1">
        <v>10711848</v>
      </c>
      <c r="N12" s="1">
        <v>10705535</v>
      </c>
      <c r="O12" s="1">
        <v>10689463</v>
      </c>
      <c r="P12" s="1">
        <v>10668095</v>
      </c>
      <c r="Q12" s="1">
        <v>10648713</v>
      </c>
      <c r="R12" s="1">
        <v>10630564</v>
      </c>
      <c r="S12" s="1">
        <v>10612741</v>
      </c>
      <c r="T12" s="1">
        <v>10596487</v>
      </c>
      <c r="U12" s="1">
        <v>10481719</v>
      </c>
      <c r="V12" s="1">
        <v>10373988</v>
      </c>
      <c r="W12" s="1">
        <v>10373400</v>
      </c>
      <c r="X12" s="1">
        <v>10369341</v>
      </c>
      <c r="Y12" s="1">
        <v>10357523</v>
      </c>
      <c r="Z12" s="1">
        <v>10343355</v>
      </c>
      <c r="AA12" s="1">
        <v>10328965</v>
      </c>
      <c r="AB12" s="1">
        <v>10311238</v>
      </c>
      <c r="AC12" s="1">
        <v>10290486</v>
      </c>
      <c r="AD12" s="1">
        <v>10266570</v>
      </c>
      <c r="AE12" s="1">
        <v>10237530</v>
      </c>
      <c r="AF12" s="1">
        <v>10210971</v>
      </c>
      <c r="AG12" s="1">
        <v>10187576</v>
      </c>
      <c r="AH12" s="1">
        <v>10158608</v>
      </c>
      <c r="AI12" s="1">
        <v>10129552</v>
      </c>
      <c r="AJ12" s="1">
        <v>10107146</v>
      </c>
      <c r="AK12" s="1">
        <v>10087065</v>
      </c>
      <c r="AL12" s="1">
        <v>10071370</v>
      </c>
      <c r="AM12" s="1">
        <v>10055780</v>
      </c>
      <c r="AN12" s="1">
        <v>10038188</v>
      </c>
      <c r="AO12" s="1">
        <v>10022650</v>
      </c>
      <c r="AP12" s="1">
        <v>10000023</v>
      </c>
      <c r="AQ12" s="1">
        <v>9971727</v>
      </c>
      <c r="AR12" s="1">
        <v>9920362</v>
      </c>
      <c r="AS12" s="1">
        <v>9893082</v>
      </c>
      <c r="AT12" s="1">
        <v>9866468</v>
      </c>
      <c r="AU12" s="1">
        <v>9843028</v>
      </c>
      <c r="AV12" s="1">
        <v>9814023</v>
      </c>
      <c r="AW12" s="1">
        <v>9781127</v>
      </c>
      <c r="AX12" s="1">
        <v>9775564</v>
      </c>
    </row>
    <row r="13" spans="1:50" x14ac:dyDescent="0.2">
      <c r="A13" s="1" t="s">
        <v>7</v>
      </c>
      <c r="B13" s="1">
        <v>12757245</v>
      </c>
      <c r="C13" s="1">
        <v>12966920</v>
      </c>
      <c r="D13" s="1">
        <v>13176584</v>
      </c>
      <c r="E13" s="1">
        <v>13382211</v>
      </c>
      <c r="F13" s="1">
        <v>13577049</v>
      </c>
      <c r="G13" s="1">
        <v>13756789</v>
      </c>
      <c r="H13" s="1">
        <v>13920105</v>
      </c>
      <c r="I13" s="1">
        <v>14070681</v>
      </c>
      <c r="J13" s="1">
        <v>14215111</v>
      </c>
      <c r="K13" s="1">
        <v>14362417</v>
      </c>
      <c r="L13" s="1">
        <v>14518924</v>
      </c>
      <c r="M13" s="1">
        <v>14683789</v>
      </c>
      <c r="N13" s="1">
        <v>14853993</v>
      </c>
      <c r="O13" s="1">
        <v>15030495</v>
      </c>
      <c r="P13" s="1">
        <v>15214051</v>
      </c>
      <c r="Q13" s="1">
        <v>15403006</v>
      </c>
      <c r="R13" s="1">
        <v>15600928</v>
      </c>
      <c r="S13" s="1">
        <v>15801753</v>
      </c>
      <c r="T13" s="1">
        <v>15982510</v>
      </c>
      <c r="U13" s="1">
        <v>16249500</v>
      </c>
      <c r="V13" s="1">
        <v>16348000</v>
      </c>
      <c r="W13" s="1">
        <v>16450500</v>
      </c>
      <c r="X13" s="1">
        <v>16439095</v>
      </c>
      <c r="Y13" s="1">
        <v>16330419</v>
      </c>
      <c r="Z13" s="1">
        <v>16095199</v>
      </c>
      <c r="AA13" s="1">
        <v>15815626</v>
      </c>
      <c r="AB13" s="1">
        <v>15577894</v>
      </c>
      <c r="AC13" s="1">
        <v>15333703</v>
      </c>
      <c r="AD13" s="1">
        <v>15071300</v>
      </c>
      <c r="AE13" s="1">
        <v>14928426</v>
      </c>
      <c r="AF13" s="1">
        <v>14883626</v>
      </c>
      <c r="AG13" s="1">
        <v>14858335</v>
      </c>
      <c r="AH13" s="1">
        <v>14858948</v>
      </c>
      <c r="AI13" s="1">
        <v>14909018</v>
      </c>
      <c r="AJ13" s="1">
        <v>15012985</v>
      </c>
      <c r="AK13" s="1">
        <v>15147029</v>
      </c>
      <c r="AL13" s="1">
        <v>15308084</v>
      </c>
      <c r="AM13" s="1">
        <v>15484192</v>
      </c>
      <c r="AN13" s="1">
        <v>15674000</v>
      </c>
      <c r="AO13" s="1">
        <v>16092822</v>
      </c>
      <c r="AP13" s="1">
        <v>16321872</v>
      </c>
      <c r="AQ13" s="1">
        <v>16557201</v>
      </c>
      <c r="AR13" s="1">
        <v>16792089</v>
      </c>
      <c r="AS13" s="1">
        <v>17035550</v>
      </c>
      <c r="AT13" s="1">
        <v>17288285</v>
      </c>
      <c r="AU13" s="1">
        <v>17542806</v>
      </c>
      <c r="AV13" s="1">
        <v>17794055</v>
      </c>
      <c r="AW13" s="1">
        <v>18037646</v>
      </c>
      <c r="AX13" s="1">
        <v>18272430</v>
      </c>
    </row>
    <row r="14" spans="1:50" x14ac:dyDescent="0.2">
      <c r="A14" s="1" t="s">
        <v>10</v>
      </c>
      <c r="B14" s="1">
        <v>1219000</v>
      </c>
      <c r="C14" s="1">
        <v>1247000</v>
      </c>
      <c r="D14" s="1">
        <v>1278000</v>
      </c>
      <c r="E14" s="1">
        <v>1308000</v>
      </c>
      <c r="F14" s="1">
        <v>1339000</v>
      </c>
      <c r="G14" s="1">
        <v>1369000</v>
      </c>
      <c r="H14" s="1">
        <v>1400000</v>
      </c>
      <c r="I14" s="1">
        <v>1430000</v>
      </c>
      <c r="J14" s="1">
        <v>1460000</v>
      </c>
      <c r="K14" s="1">
        <v>1491000</v>
      </c>
      <c r="L14" s="1">
        <v>1521000</v>
      </c>
      <c r="M14" s="1">
        <v>1552000</v>
      </c>
      <c r="N14" s="1">
        <v>1582000</v>
      </c>
      <c r="O14" s="1">
        <v>1614000</v>
      </c>
      <c r="P14" s="1">
        <v>1647000</v>
      </c>
      <c r="Q14" s="1">
        <v>1682000</v>
      </c>
      <c r="R14" s="1">
        <v>1717000</v>
      </c>
      <c r="S14" s="1">
        <v>1753000</v>
      </c>
      <c r="T14" s="1">
        <v>1791000</v>
      </c>
      <c r="U14" s="1">
        <v>1827000</v>
      </c>
      <c r="V14" s="1">
        <v>1862000</v>
      </c>
      <c r="W14" s="1">
        <v>1898000</v>
      </c>
      <c r="X14" s="1">
        <v>1932000</v>
      </c>
      <c r="Y14" s="1">
        <v>1965000</v>
      </c>
      <c r="Z14" s="1">
        <v>1997000</v>
      </c>
      <c r="AA14" s="1">
        <v>2029000</v>
      </c>
      <c r="AB14" s="1">
        <v>2059000</v>
      </c>
      <c r="AC14" s="1">
        <v>2086000</v>
      </c>
      <c r="AD14" s="1">
        <v>1966000</v>
      </c>
      <c r="AE14" s="1">
        <v>1762000</v>
      </c>
      <c r="AF14" s="1">
        <v>1700000</v>
      </c>
      <c r="AG14" s="1">
        <v>1701154</v>
      </c>
      <c r="AH14" s="1">
        <v>1702310</v>
      </c>
      <c r="AI14" s="1">
        <v>1703466</v>
      </c>
      <c r="AJ14" s="1">
        <v>1704622</v>
      </c>
      <c r="AK14" s="1">
        <v>1705780</v>
      </c>
      <c r="AL14" s="1">
        <v>1719536</v>
      </c>
      <c r="AM14" s="1">
        <v>1733404</v>
      </c>
      <c r="AN14" s="1">
        <v>1747383</v>
      </c>
      <c r="AO14" s="1">
        <v>1761474</v>
      </c>
      <c r="AP14" s="1">
        <v>1775680</v>
      </c>
      <c r="AQ14" s="1">
        <v>1791000</v>
      </c>
      <c r="AR14" s="1">
        <v>1805200</v>
      </c>
      <c r="AS14" s="1">
        <v>1824100</v>
      </c>
      <c r="AT14" s="1">
        <v>1821800</v>
      </c>
      <c r="AU14" s="1">
        <v>1801800</v>
      </c>
      <c r="AV14" s="1">
        <v>1816200</v>
      </c>
      <c r="AW14" s="1">
        <v>1830700</v>
      </c>
      <c r="AX14" s="1">
        <v>1845300</v>
      </c>
    </row>
    <row r="15" spans="1:50" x14ac:dyDescent="0.2">
      <c r="A15" s="1" t="s">
        <v>14</v>
      </c>
      <c r="B15" s="1">
        <v>2959900</v>
      </c>
      <c r="C15" s="1">
        <v>3022300</v>
      </c>
      <c r="D15" s="1">
        <v>3088200</v>
      </c>
      <c r="E15" s="1">
        <v>3153800</v>
      </c>
      <c r="F15" s="1">
        <v>3223900</v>
      </c>
      <c r="G15" s="1">
        <v>3292400</v>
      </c>
      <c r="H15" s="1">
        <v>3358700</v>
      </c>
      <c r="I15" s="1">
        <v>3423900</v>
      </c>
      <c r="J15" s="1">
        <v>3487100</v>
      </c>
      <c r="K15" s="1">
        <v>3552000</v>
      </c>
      <c r="L15" s="1">
        <v>3617400</v>
      </c>
      <c r="M15" s="1">
        <v>3685800</v>
      </c>
      <c r="N15" s="1">
        <v>3759300</v>
      </c>
      <c r="O15" s="1">
        <v>3838300</v>
      </c>
      <c r="P15" s="1">
        <v>3916400</v>
      </c>
      <c r="Q15" s="1">
        <v>3990300</v>
      </c>
      <c r="R15" s="1">
        <v>4066500</v>
      </c>
      <c r="S15" s="1">
        <v>4144600</v>
      </c>
      <c r="T15" s="1">
        <v>4218400</v>
      </c>
      <c r="U15" s="1">
        <v>4307500</v>
      </c>
      <c r="V15" s="1">
        <v>4391200</v>
      </c>
      <c r="W15" s="1">
        <v>4463600</v>
      </c>
      <c r="X15" s="1">
        <v>4515400</v>
      </c>
      <c r="Y15" s="1">
        <v>4516700</v>
      </c>
      <c r="Z15" s="1">
        <v>4515100</v>
      </c>
      <c r="AA15" s="1">
        <v>4560400</v>
      </c>
      <c r="AB15" s="1">
        <v>4628400</v>
      </c>
      <c r="AC15" s="1">
        <v>4696400</v>
      </c>
      <c r="AD15" s="1">
        <v>4769000</v>
      </c>
      <c r="AE15" s="1">
        <v>4840400</v>
      </c>
      <c r="AF15" s="1">
        <v>4898400</v>
      </c>
      <c r="AG15" s="1">
        <v>4945100</v>
      </c>
      <c r="AH15" s="1">
        <v>4990700</v>
      </c>
      <c r="AI15" s="1">
        <v>5043300</v>
      </c>
      <c r="AJ15" s="1">
        <v>5104700</v>
      </c>
      <c r="AK15" s="1">
        <v>5162600</v>
      </c>
      <c r="AL15" s="1">
        <v>5218400</v>
      </c>
      <c r="AM15" s="1">
        <v>5268400</v>
      </c>
      <c r="AN15" s="1">
        <v>5318700</v>
      </c>
      <c r="AO15" s="1">
        <v>5383300</v>
      </c>
      <c r="AP15" s="1">
        <v>5447900</v>
      </c>
      <c r="AQ15" s="1">
        <v>5514600</v>
      </c>
      <c r="AR15" s="1">
        <v>5607200</v>
      </c>
      <c r="AS15" s="1">
        <v>5719600</v>
      </c>
      <c r="AT15" s="1">
        <v>5835500</v>
      </c>
      <c r="AU15" s="1">
        <v>5956900</v>
      </c>
      <c r="AV15" s="1">
        <v>6079500</v>
      </c>
      <c r="AW15" s="1">
        <v>6201500</v>
      </c>
      <c r="AX15" s="1">
        <v>6322800</v>
      </c>
    </row>
    <row r="16" spans="1:50" x14ac:dyDescent="0.2">
      <c r="A16" s="1" t="s">
        <v>20</v>
      </c>
      <c r="B16" s="1">
        <v>2359164</v>
      </c>
      <c r="C16" s="1">
        <v>2376389</v>
      </c>
      <c r="D16" s="1">
        <v>2395674</v>
      </c>
      <c r="E16" s="1">
        <v>2415819</v>
      </c>
      <c r="F16" s="1">
        <v>2437186</v>
      </c>
      <c r="G16" s="1">
        <v>2456130</v>
      </c>
      <c r="H16" s="1">
        <v>2470989</v>
      </c>
      <c r="I16" s="1">
        <v>2485073</v>
      </c>
      <c r="J16" s="1">
        <v>2497921</v>
      </c>
      <c r="K16" s="1">
        <v>2505953</v>
      </c>
      <c r="L16" s="1">
        <v>2511701</v>
      </c>
      <c r="M16" s="1">
        <v>2519421</v>
      </c>
      <c r="N16" s="1">
        <v>2531080</v>
      </c>
      <c r="O16" s="1">
        <v>2546011</v>
      </c>
      <c r="P16" s="1">
        <v>2562047</v>
      </c>
      <c r="Q16" s="1">
        <v>2578873</v>
      </c>
      <c r="R16" s="1">
        <v>2599892</v>
      </c>
      <c r="S16" s="1">
        <v>2626583</v>
      </c>
      <c r="T16" s="1">
        <v>2653434</v>
      </c>
      <c r="U16" s="1">
        <v>2666955</v>
      </c>
      <c r="V16" s="1">
        <v>2663151</v>
      </c>
      <c r="W16" s="1">
        <v>2650581</v>
      </c>
      <c r="X16" s="1">
        <v>2614338</v>
      </c>
      <c r="Y16" s="1">
        <v>2563290</v>
      </c>
      <c r="Z16" s="1">
        <v>2520742</v>
      </c>
      <c r="AA16" s="1">
        <v>2485056</v>
      </c>
      <c r="AB16" s="1">
        <v>2457222</v>
      </c>
      <c r="AC16" s="1">
        <v>2432851</v>
      </c>
      <c r="AD16" s="1">
        <v>2410019</v>
      </c>
      <c r="AE16" s="1">
        <v>2390482</v>
      </c>
      <c r="AF16" s="1">
        <v>2367550</v>
      </c>
      <c r="AG16" s="1">
        <v>2337170</v>
      </c>
      <c r="AH16" s="1">
        <v>2310173</v>
      </c>
      <c r="AI16" s="1">
        <v>2287955</v>
      </c>
      <c r="AJ16" s="1">
        <v>2263122</v>
      </c>
      <c r="AK16" s="1">
        <v>2238799</v>
      </c>
      <c r="AL16" s="1">
        <v>2218357</v>
      </c>
      <c r="AM16" s="1">
        <v>2200325</v>
      </c>
      <c r="AN16" s="1">
        <v>2177322</v>
      </c>
      <c r="AO16" s="1">
        <v>2141669</v>
      </c>
      <c r="AP16" s="1">
        <v>2097555</v>
      </c>
      <c r="AQ16" s="1">
        <v>2059709</v>
      </c>
      <c r="AR16" s="1">
        <v>2034319</v>
      </c>
      <c r="AS16" s="1">
        <v>2012647</v>
      </c>
      <c r="AT16" s="1">
        <v>1993782</v>
      </c>
      <c r="AU16" s="1">
        <v>1977527</v>
      </c>
      <c r="AV16" s="1">
        <v>1959537</v>
      </c>
      <c r="AW16" s="1">
        <v>1940740</v>
      </c>
      <c r="AX16" s="1">
        <v>1927174</v>
      </c>
    </row>
    <row r="17" spans="1:50" x14ac:dyDescent="0.2">
      <c r="A17" s="1" t="s">
        <v>21</v>
      </c>
      <c r="B17" s="1">
        <v>3139689</v>
      </c>
      <c r="C17" s="1">
        <v>3179041</v>
      </c>
      <c r="D17" s="1">
        <v>3213622</v>
      </c>
      <c r="E17" s="1">
        <v>3244438</v>
      </c>
      <c r="F17" s="1">
        <v>3273894</v>
      </c>
      <c r="G17" s="1">
        <v>3301652</v>
      </c>
      <c r="H17" s="1">
        <v>3328664</v>
      </c>
      <c r="I17" s="1">
        <v>3355036</v>
      </c>
      <c r="J17" s="1">
        <v>3379514</v>
      </c>
      <c r="K17" s="1">
        <v>3397842</v>
      </c>
      <c r="L17" s="1">
        <v>3413202</v>
      </c>
      <c r="M17" s="1">
        <v>3432947</v>
      </c>
      <c r="N17" s="1">
        <v>3457179</v>
      </c>
      <c r="O17" s="1">
        <v>3485192</v>
      </c>
      <c r="P17" s="1">
        <v>3514205</v>
      </c>
      <c r="Q17" s="1">
        <v>3544543</v>
      </c>
      <c r="R17" s="1">
        <v>3578914</v>
      </c>
      <c r="S17" s="1">
        <v>3616367</v>
      </c>
      <c r="T17" s="1">
        <v>3655049</v>
      </c>
      <c r="U17" s="1">
        <v>3684255</v>
      </c>
      <c r="V17" s="1">
        <v>3697838</v>
      </c>
      <c r="W17" s="1">
        <v>3704134</v>
      </c>
      <c r="X17" s="1">
        <v>3700114</v>
      </c>
      <c r="Y17" s="1">
        <v>3682613</v>
      </c>
      <c r="Z17" s="1">
        <v>3657144</v>
      </c>
      <c r="AA17" s="1">
        <v>3629102</v>
      </c>
      <c r="AB17" s="1">
        <v>3601613</v>
      </c>
      <c r="AC17" s="1">
        <v>3575137</v>
      </c>
      <c r="AD17" s="1">
        <v>3549331</v>
      </c>
      <c r="AE17" s="1">
        <v>3524238</v>
      </c>
      <c r="AF17" s="1">
        <v>3499536</v>
      </c>
      <c r="AG17" s="1">
        <v>3470818</v>
      </c>
      <c r="AH17" s="1">
        <v>3443067</v>
      </c>
      <c r="AI17" s="1">
        <v>3415213</v>
      </c>
      <c r="AJ17" s="1">
        <v>3377075</v>
      </c>
      <c r="AK17" s="1">
        <v>3322528</v>
      </c>
      <c r="AL17" s="1">
        <v>3269909</v>
      </c>
      <c r="AM17" s="1">
        <v>3231294</v>
      </c>
      <c r="AN17" s="1">
        <v>3198231</v>
      </c>
      <c r="AO17" s="1">
        <v>3162916</v>
      </c>
      <c r="AP17" s="1">
        <v>3097282</v>
      </c>
      <c r="AQ17" s="1">
        <v>3028115</v>
      </c>
      <c r="AR17" s="1">
        <v>2987773</v>
      </c>
      <c r="AS17" s="1">
        <v>2957689</v>
      </c>
      <c r="AT17" s="1">
        <v>2932367</v>
      </c>
      <c r="AU17" s="1">
        <v>2904910</v>
      </c>
      <c r="AV17" s="1">
        <v>2868231</v>
      </c>
      <c r="AW17" s="1">
        <v>2827721</v>
      </c>
      <c r="AX17" s="1">
        <v>2801543</v>
      </c>
    </row>
    <row r="18" spans="1:50" x14ac:dyDescent="0.2">
      <c r="A18" s="1" t="s">
        <v>15</v>
      </c>
      <c r="B18" s="1">
        <v>1720800</v>
      </c>
      <c r="C18" s="1">
        <v>1739521</v>
      </c>
      <c r="D18" s="1">
        <v>1754956</v>
      </c>
      <c r="E18" s="1">
        <v>1768992</v>
      </c>
      <c r="F18" s="1">
        <v>1784398</v>
      </c>
      <c r="G18" s="1">
        <v>1803010</v>
      </c>
      <c r="H18" s="1">
        <v>1825552</v>
      </c>
      <c r="I18" s="1">
        <v>1851069</v>
      </c>
      <c r="J18" s="1">
        <v>1877688</v>
      </c>
      <c r="K18" s="1">
        <v>1902719</v>
      </c>
      <c r="L18" s="1">
        <v>1924197</v>
      </c>
      <c r="M18" s="1">
        <v>1941530</v>
      </c>
      <c r="N18" s="1">
        <v>1955243</v>
      </c>
      <c r="O18" s="1">
        <v>1965895</v>
      </c>
      <c r="P18" s="1">
        <v>1974415</v>
      </c>
      <c r="Q18" s="1">
        <v>1981534</v>
      </c>
      <c r="R18" s="1">
        <v>1987538</v>
      </c>
      <c r="S18" s="1">
        <v>1992274</v>
      </c>
      <c r="T18" s="1">
        <v>1995513</v>
      </c>
      <c r="U18" s="1">
        <v>1996870</v>
      </c>
      <c r="V18" s="1">
        <v>1996228</v>
      </c>
      <c r="W18" s="1">
        <v>1993302</v>
      </c>
      <c r="X18" s="1">
        <v>1988659</v>
      </c>
      <c r="Y18" s="1">
        <v>1984028</v>
      </c>
      <c r="Z18" s="1">
        <v>1981703</v>
      </c>
      <c r="AA18" s="1">
        <v>1983252</v>
      </c>
      <c r="AB18" s="1">
        <v>1989443</v>
      </c>
      <c r="AC18" s="1">
        <v>1999599</v>
      </c>
      <c r="AD18" s="1">
        <v>2012057</v>
      </c>
      <c r="AE18" s="1">
        <v>2024394</v>
      </c>
      <c r="AF18" s="1">
        <v>2034819</v>
      </c>
      <c r="AG18" s="1">
        <v>2042842</v>
      </c>
      <c r="AH18" s="1">
        <v>2048928</v>
      </c>
      <c r="AI18" s="1">
        <v>2053426</v>
      </c>
      <c r="AJ18" s="1">
        <v>2057047</v>
      </c>
      <c r="AK18" s="1">
        <v>2060272</v>
      </c>
      <c r="AL18" s="1">
        <v>2063145</v>
      </c>
      <c r="AM18" s="1">
        <v>2065458</v>
      </c>
      <c r="AN18" s="1">
        <v>2067378</v>
      </c>
      <c r="AO18" s="1">
        <v>2069093</v>
      </c>
      <c r="AP18" s="1">
        <v>2070739</v>
      </c>
      <c r="AQ18" s="1">
        <v>2072383</v>
      </c>
      <c r="AR18" s="1">
        <v>2074036</v>
      </c>
      <c r="AS18" s="1">
        <v>2075739</v>
      </c>
      <c r="AT18" s="1">
        <v>2077495</v>
      </c>
      <c r="AU18" s="1">
        <v>2079308</v>
      </c>
      <c r="AV18" s="1">
        <v>2081206</v>
      </c>
      <c r="AW18" s="1">
        <v>2083160</v>
      </c>
      <c r="AX18" s="1">
        <v>2706049</v>
      </c>
    </row>
    <row r="19" spans="1:50" x14ac:dyDescent="0.2">
      <c r="A19" s="1" t="s">
        <v>16</v>
      </c>
      <c r="B19" s="1">
        <v>3044000</v>
      </c>
      <c r="C19" s="1">
        <v>3088000</v>
      </c>
      <c r="D19" s="1">
        <v>3131000</v>
      </c>
      <c r="E19" s="1">
        <v>3174000</v>
      </c>
      <c r="F19" s="1">
        <v>3215000</v>
      </c>
      <c r="G19" s="1">
        <v>3251000</v>
      </c>
      <c r="H19" s="1">
        <v>3284000</v>
      </c>
      <c r="I19" s="1">
        <v>3312000</v>
      </c>
      <c r="J19" s="1">
        <v>3339000</v>
      </c>
      <c r="K19" s="1">
        <v>3366000</v>
      </c>
      <c r="L19" s="1">
        <v>3396000</v>
      </c>
      <c r="M19" s="1">
        <v>3429000</v>
      </c>
      <c r="N19" s="1">
        <v>3464000</v>
      </c>
      <c r="O19" s="1">
        <v>3500000</v>
      </c>
      <c r="P19" s="1">
        <v>3536000</v>
      </c>
      <c r="Q19" s="1">
        <v>3570000</v>
      </c>
      <c r="R19" s="1">
        <v>3602000</v>
      </c>
      <c r="S19" s="1">
        <v>3633000</v>
      </c>
      <c r="T19" s="1">
        <v>3660000</v>
      </c>
      <c r="U19" s="1">
        <v>3681000</v>
      </c>
      <c r="V19" s="1">
        <v>3696000</v>
      </c>
      <c r="W19" s="1">
        <v>3704000</v>
      </c>
      <c r="X19" s="1">
        <v>3706000</v>
      </c>
      <c r="Y19" s="1">
        <v>3701000</v>
      </c>
      <c r="Z19" s="1">
        <v>3691000</v>
      </c>
      <c r="AA19" s="1">
        <v>3675099</v>
      </c>
      <c r="AB19" s="1">
        <v>3667748</v>
      </c>
      <c r="AC19" s="1">
        <v>3654208</v>
      </c>
      <c r="AD19" s="1">
        <v>3652732</v>
      </c>
      <c r="AE19" s="1">
        <v>3647001</v>
      </c>
      <c r="AF19" s="1">
        <v>3639592</v>
      </c>
      <c r="AG19" s="1">
        <v>3631462</v>
      </c>
      <c r="AH19" s="1">
        <v>3623062</v>
      </c>
      <c r="AI19" s="1">
        <v>3612874</v>
      </c>
      <c r="AJ19" s="1">
        <v>3603945</v>
      </c>
      <c r="AK19" s="1">
        <v>3595187</v>
      </c>
      <c r="AL19" s="1">
        <v>3585209</v>
      </c>
      <c r="AM19" s="1">
        <v>3576910</v>
      </c>
      <c r="AN19" s="1">
        <v>3570108</v>
      </c>
      <c r="AO19" s="1">
        <v>3565604</v>
      </c>
      <c r="AP19" s="1">
        <v>3562045</v>
      </c>
      <c r="AQ19" s="1">
        <v>3559986</v>
      </c>
      <c r="AR19" s="1">
        <v>3559519</v>
      </c>
      <c r="AS19" s="1">
        <v>3558566</v>
      </c>
      <c r="AT19" s="1">
        <v>3556397</v>
      </c>
      <c r="AU19" s="1">
        <v>3554108</v>
      </c>
      <c r="AV19" s="1">
        <v>3551954</v>
      </c>
      <c r="AW19" s="1">
        <v>3549750</v>
      </c>
      <c r="AX19" s="1">
        <v>622227</v>
      </c>
    </row>
    <row r="20" spans="1:50" x14ac:dyDescent="0.2">
      <c r="A20" s="1" t="s">
        <v>24</v>
      </c>
      <c r="B20" s="1">
        <v>512407</v>
      </c>
      <c r="C20" s="1">
        <v>515449</v>
      </c>
      <c r="D20" s="1">
        <v>521785</v>
      </c>
      <c r="E20" s="1">
        <v>530220</v>
      </c>
      <c r="F20" s="1">
        <v>538902</v>
      </c>
      <c r="G20" s="1">
        <v>546487</v>
      </c>
      <c r="H20" s="1">
        <v>552562</v>
      </c>
      <c r="I20" s="1">
        <v>557576</v>
      </c>
      <c r="J20" s="1">
        <v>562065</v>
      </c>
      <c r="K20" s="1">
        <v>566888</v>
      </c>
      <c r="L20" s="1">
        <v>572608</v>
      </c>
      <c r="M20" s="1">
        <v>579445</v>
      </c>
      <c r="N20" s="1">
        <v>587001</v>
      </c>
      <c r="O20" s="1">
        <v>594506</v>
      </c>
      <c r="P20" s="1">
        <v>600884</v>
      </c>
      <c r="Q20" s="1">
        <v>605398</v>
      </c>
      <c r="R20" s="1">
        <v>607711</v>
      </c>
      <c r="S20" s="1">
        <v>608144</v>
      </c>
      <c r="T20" s="1">
        <v>607413</v>
      </c>
      <c r="U20" s="1">
        <v>606571</v>
      </c>
      <c r="V20" s="1">
        <v>606372</v>
      </c>
      <c r="W20" s="1">
        <v>607105</v>
      </c>
      <c r="X20" s="1">
        <v>608516</v>
      </c>
      <c r="Y20" s="1">
        <v>610170</v>
      </c>
      <c r="Z20" s="1">
        <v>611389</v>
      </c>
      <c r="AA20" s="1">
        <v>611712</v>
      </c>
      <c r="AB20" s="1">
        <v>611003</v>
      </c>
      <c r="AC20" s="1">
        <v>609520</v>
      </c>
      <c r="AD20" s="1">
        <v>607662</v>
      </c>
      <c r="AE20" s="1">
        <v>606001</v>
      </c>
      <c r="AF20" s="1">
        <v>604950</v>
      </c>
      <c r="AG20" s="1">
        <v>607389</v>
      </c>
      <c r="AH20" s="1">
        <v>609828</v>
      </c>
      <c r="AI20" s="1">
        <v>612267</v>
      </c>
      <c r="AJ20" s="1">
        <v>613353</v>
      </c>
      <c r="AK20" s="1">
        <v>614261</v>
      </c>
      <c r="AL20" s="1">
        <v>615025</v>
      </c>
      <c r="AM20" s="1">
        <v>615875</v>
      </c>
      <c r="AN20" s="1">
        <v>616969</v>
      </c>
      <c r="AO20" s="1">
        <v>618294</v>
      </c>
      <c r="AP20" s="1">
        <v>619428</v>
      </c>
      <c r="AQ20" s="1">
        <v>620079</v>
      </c>
      <c r="AR20" s="1">
        <v>620601</v>
      </c>
      <c r="AS20" s="1">
        <v>621207</v>
      </c>
      <c r="AT20" s="1">
        <v>621810</v>
      </c>
      <c r="AU20" s="1">
        <v>622159</v>
      </c>
      <c r="AV20" s="1">
        <v>622303</v>
      </c>
      <c r="AW20" s="1">
        <v>622471</v>
      </c>
      <c r="AX20" s="1">
        <v>2082958</v>
      </c>
    </row>
    <row r="21" spans="1:50" x14ac:dyDescent="0.2">
      <c r="A21" s="1" t="s">
        <v>11</v>
      </c>
      <c r="B21" s="1">
        <v>32664300</v>
      </c>
      <c r="C21" s="1">
        <v>32783500</v>
      </c>
      <c r="D21" s="1">
        <v>33055650</v>
      </c>
      <c r="E21" s="1">
        <v>33357200</v>
      </c>
      <c r="F21" s="1">
        <v>33678899</v>
      </c>
      <c r="G21" s="1">
        <v>34015199</v>
      </c>
      <c r="H21" s="1">
        <v>34356300</v>
      </c>
      <c r="I21" s="1">
        <v>34689050</v>
      </c>
      <c r="J21" s="1">
        <v>34965600</v>
      </c>
      <c r="K21" s="1">
        <v>35247217</v>
      </c>
      <c r="L21" s="1">
        <v>35574150</v>
      </c>
      <c r="M21" s="1">
        <v>35898587</v>
      </c>
      <c r="N21" s="1">
        <v>36230481</v>
      </c>
      <c r="O21" s="1">
        <v>36571808</v>
      </c>
      <c r="P21" s="1">
        <v>36904134</v>
      </c>
      <c r="Q21" s="1">
        <v>37201885</v>
      </c>
      <c r="R21" s="1">
        <v>37456119</v>
      </c>
      <c r="S21" s="1">
        <v>37668045</v>
      </c>
      <c r="T21" s="1">
        <v>37824487</v>
      </c>
      <c r="U21" s="1">
        <v>37961529</v>
      </c>
      <c r="V21" s="1">
        <v>38110782</v>
      </c>
      <c r="W21" s="1">
        <v>38246193</v>
      </c>
      <c r="X21" s="1">
        <v>38363667</v>
      </c>
      <c r="Y21" s="1">
        <v>38461408</v>
      </c>
      <c r="Z21" s="1">
        <v>38542652</v>
      </c>
      <c r="AA21" s="1">
        <v>38594998</v>
      </c>
      <c r="AB21" s="1">
        <v>38624370</v>
      </c>
      <c r="AC21" s="1">
        <v>38649660</v>
      </c>
      <c r="AD21" s="1">
        <v>38663481</v>
      </c>
      <c r="AE21" s="1">
        <v>38660271</v>
      </c>
      <c r="AF21" s="1">
        <v>38258629</v>
      </c>
      <c r="AG21" s="1">
        <v>38248076</v>
      </c>
      <c r="AH21" s="1">
        <v>38230364</v>
      </c>
      <c r="AI21" s="1">
        <v>38204570</v>
      </c>
      <c r="AJ21" s="1">
        <v>38182222</v>
      </c>
      <c r="AK21" s="1">
        <v>38165445</v>
      </c>
      <c r="AL21" s="1">
        <v>38141267</v>
      </c>
      <c r="AM21" s="1">
        <v>38120560</v>
      </c>
      <c r="AN21" s="1">
        <v>38125759</v>
      </c>
      <c r="AO21" s="1">
        <v>38151603</v>
      </c>
      <c r="AP21" s="1">
        <v>38042794</v>
      </c>
      <c r="AQ21" s="1">
        <v>38063255</v>
      </c>
      <c r="AR21" s="1">
        <v>38063164</v>
      </c>
      <c r="AS21" s="1">
        <v>38040196</v>
      </c>
      <c r="AT21" s="1">
        <v>38011735</v>
      </c>
      <c r="AU21" s="1">
        <v>37986412</v>
      </c>
      <c r="AV21" s="1">
        <v>37970087</v>
      </c>
      <c r="AW21" s="1">
        <v>37975841</v>
      </c>
      <c r="AX21" s="1">
        <v>37974750</v>
      </c>
    </row>
    <row r="22" spans="1:50" x14ac:dyDescent="0.2">
      <c r="A22" s="1" t="s">
        <v>17</v>
      </c>
      <c r="B22" s="1">
        <v>20250398</v>
      </c>
      <c r="C22" s="1">
        <v>20461567</v>
      </c>
      <c r="D22" s="1">
        <v>20657957</v>
      </c>
      <c r="E22" s="1">
        <v>20835681</v>
      </c>
      <c r="F22" s="1">
        <v>21029429</v>
      </c>
      <c r="G22" s="1">
        <v>21293583</v>
      </c>
      <c r="H22" s="1">
        <v>21551634</v>
      </c>
      <c r="I22" s="1">
        <v>21756096</v>
      </c>
      <c r="J22" s="1">
        <v>21951464</v>
      </c>
      <c r="K22" s="1">
        <v>22090488</v>
      </c>
      <c r="L22" s="1">
        <v>22242653</v>
      </c>
      <c r="M22" s="1">
        <v>22415169</v>
      </c>
      <c r="N22" s="1">
        <v>22515389</v>
      </c>
      <c r="O22" s="1">
        <v>22588790</v>
      </c>
      <c r="P22" s="1">
        <v>22655940</v>
      </c>
      <c r="Q22" s="1">
        <v>22755427</v>
      </c>
      <c r="R22" s="1">
        <v>22859269</v>
      </c>
      <c r="S22" s="1">
        <v>22949430</v>
      </c>
      <c r="T22" s="1">
        <v>23057662</v>
      </c>
      <c r="U22" s="1">
        <v>23161458</v>
      </c>
      <c r="V22" s="1">
        <v>23201835</v>
      </c>
      <c r="W22" s="1">
        <v>23001155</v>
      </c>
      <c r="X22" s="1">
        <v>22794284</v>
      </c>
      <c r="Y22" s="1">
        <v>22763280</v>
      </c>
      <c r="Z22" s="1">
        <v>22730211</v>
      </c>
      <c r="AA22" s="1">
        <v>22684270</v>
      </c>
      <c r="AB22" s="1">
        <v>22619004</v>
      </c>
      <c r="AC22" s="1">
        <v>22553978</v>
      </c>
      <c r="AD22" s="1">
        <v>22507344</v>
      </c>
      <c r="AE22" s="1">
        <v>22472040</v>
      </c>
      <c r="AF22" s="1">
        <v>22442971</v>
      </c>
      <c r="AG22" s="1">
        <v>22131970</v>
      </c>
      <c r="AH22" s="1">
        <v>21730496</v>
      </c>
      <c r="AI22" s="1">
        <v>21574326</v>
      </c>
      <c r="AJ22" s="1">
        <v>21451748</v>
      </c>
      <c r="AK22" s="1">
        <v>21319685</v>
      </c>
      <c r="AL22" s="1">
        <v>21193760</v>
      </c>
      <c r="AM22" s="1">
        <v>20882982</v>
      </c>
      <c r="AN22" s="1">
        <v>20537875</v>
      </c>
      <c r="AO22" s="1">
        <v>20367487</v>
      </c>
      <c r="AP22" s="1">
        <v>20246871</v>
      </c>
      <c r="AQ22" s="1">
        <v>20147528</v>
      </c>
      <c r="AR22" s="1">
        <v>20058035</v>
      </c>
      <c r="AS22" s="1">
        <v>19983693</v>
      </c>
      <c r="AT22" s="1">
        <v>19908979</v>
      </c>
      <c r="AU22" s="1">
        <v>19815481</v>
      </c>
      <c r="AV22" s="1">
        <v>19702332</v>
      </c>
      <c r="AW22" s="1">
        <v>19586539</v>
      </c>
      <c r="AX22" s="1">
        <v>19466145</v>
      </c>
    </row>
    <row r="23" spans="1:50" x14ac:dyDescent="0.2">
      <c r="A23" s="1" t="s">
        <v>38</v>
      </c>
      <c r="B23" s="1">
        <v>130404000</v>
      </c>
      <c r="C23" s="1">
        <v>131155000</v>
      </c>
      <c r="D23" s="1">
        <v>131909000</v>
      </c>
      <c r="E23" s="1">
        <v>132669000</v>
      </c>
      <c r="F23" s="1">
        <v>133432000</v>
      </c>
      <c r="G23" s="1">
        <v>134200000</v>
      </c>
      <c r="H23" s="1">
        <v>135147000</v>
      </c>
      <c r="I23" s="1">
        <v>136100000</v>
      </c>
      <c r="J23" s="1">
        <v>137060000</v>
      </c>
      <c r="K23" s="1">
        <v>138027000</v>
      </c>
      <c r="L23" s="1">
        <v>139010000</v>
      </c>
      <c r="M23" s="1">
        <v>139941000</v>
      </c>
      <c r="N23" s="1">
        <v>140823000</v>
      </c>
      <c r="O23" s="1">
        <v>141668000</v>
      </c>
      <c r="P23" s="1">
        <v>142745000</v>
      </c>
      <c r="Q23" s="1">
        <v>143858000</v>
      </c>
      <c r="R23" s="1">
        <v>144894000</v>
      </c>
      <c r="S23" s="1">
        <v>145908000</v>
      </c>
      <c r="T23" s="1">
        <v>146857000</v>
      </c>
      <c r="U23" s="1">
        <v>147721000</v>
      </c>
      <c r="V23" s="1">
        <v>148292000</v>
      </c>
      <c r="W23" s="1">
        <v>148624000</v>
      </c>
      <c r="X23" s="1">
        <v>148689000</v>
      </c>
      <c r="Y23" s="1">
        <v>148520000</v>
      </c>
      <c r="Z23" s="1">
        <v>148336000</v>
      </c>
      <c r="AA23" s="1">
        <v>148375726</v>
      </c>
      <c r="AB23" s="1">
        <v>148160042</v>
      </c>
      <c r="AC23" s="1">
        <v>147915307</v>
      </c>
      <c r="AD23" s="1">
        <v>147670692</v>
      </c>
      <c r="AE23" s="1">
        <v>147214392</v>
      </c>
      <c r="AF23" s="1">
        <v>146596557</v>
      </c>
      <c r="AG23" s="1">
        <v>145976083</v>
      </c>
      <c r="AH23" s="1">
        <v>145306046</v>
      </c>
      <c r="AI23" s="1">
        <v>144648257</v>
      </c>
      <c r="AJ23" s="1">
        <v>144067054</v>
      </c>
      <c r="AK23" s="1">
        <v>143518523</v>
      </c>
      <c r="AL23" s="1">
        <v>143049528</v>
      </c>
      <c r="AM23" s="1">
        <v>142805088</v>
      </c>
      <c r="AN23" s="1">
        <v>142742350</v>
      </c>
      <c r="AO23" s="1">
        <v>142785342</v>
      </c>
      <c r="AP23" s="1">
        <v>142849449</v>
      </c>
      <c r="AQ23" s="1">
        <v>142960868</v>
      </c>
      <c r="AR23" s="1">
        <v>143201676</v>
      </c>
      <c r="AS23" s="1">
        <v>143506911</v>
      </c>
      <c r="AT23" s="1">
        <v>143819666</v>
      </c>
      <c r="AU23" s="1">
        <v>144096870</v>
      </c>
      <c r="AV23" s="1">
        <v>144342396</v>
      </c>
      <c r="AW23" s="1">
        <v>144495044</v>
      </c>
      <c r="AX23" s="1">
        <v>144478050</v>
      </c>
    </row>
    <row r="24" spans="1:50" x14ac:dyDescent="0.2">
      <c r="A24" s="1" t="s">
        <v>19</v>
      </c>
      <c r="V24" s="1">
        <v>7586000</v>
      </c>
      <c r="W24" s="1">
        <v>7595636</v>
      </c>
      <c r="X24" s="1">
        <v>7646424</v>
      </c>
      <c r="Y24" s="1">
        <v>7699307</v>
      </c>
      <c r="Z24" s="1">
        <v>7734639</v>
      </c>
      <c r="AA24" s="1">
        <v>7625357</v>
      </c>
      <c r="AB24" s="1">
        <v>7617794</v>
      </c>
      <c r="AC24" s="1">
        <v>7596501</v>
      </c>
      <c r="AD24" s="1">
        <v>7567745</v>
      </c>
      <c r="AE24" s="1">
        <v>7540401</v>
      </c>
      <c r="AF24" s="1">
        <v>7516346</v>
      </c>
      <c r="AG24" s="1">
        <v>7503433</v>
      </c>
      <c r="AH24" s="1">
        <v>7496522</v>
      </c>
      <c r="AI24" s="1">
        <v>7480591</v>
      </c>
      <c r="AJ24" s="1">
        <v>7463157</v>
      </c>
      <c r="AK24" s="1">
        <v>7440769</v>
      </c>
      <c r="AL24" s="1">
        <v>7411569</v>
      </c>
      <c r="AM24" s="1">
        <v>7381579</v>
      </c>
      <c r="AN24" s="1">
        <v>7350222</v>
      </c>
      <c r="AO24" s="1">
        <v>7320807</v>
      </c>
      <c r="AP24" s="1">
        <v>7291436</v>
      </c>
      <c r="AQ24" s="1">
        <v>7234099</v>
      </c>
      <c r="AR24" s="1">
        <v>7199077</v>
      </c>
      <c r="AS24" s="1">
        <v>7164132</v>
      </c>
      <c r="AT24" s="1">
        <v>7130576</v>
      </c>
      <c r="AU24" s="1">
        <v>7095383</v>
      </c>
      <c r="AV24" s="1">
        <v>7058322</v>
      </c>
      <c r="AW24" s="1">
        <v>7022268</v>
      </c>
      <c r="AX24" s="1">
        <v>6982604</v>
      </c>
    </row>
    <row r="25" spans="1:50" x14ac:dyDescent="0.2">
      <c r="A25" s="1" t="s">
        <v>4</v>
      </c>
      <c r="B25" s="1">
        <v>4538223</v>
      </c>
      <c r="C25" s="1">
        <v>4557449</v>
      </c>
      <c r="D25" s="1">
        <v>4596622</v>
      </c>
      <c r="E25" s="1">
        <v>4641445</v>
      </c>
      <c r="F25" s="1">
        <v>4689623</v>
      </c>
      <c r="G25" s="1">
        <v>4739105</v>
      </c>
      <c r="H25" s="1">
        <v>4789507</v>
      </c>
      <c r="I25" s="1">
        <v>4840501</v>
      </c>
      <c r="J25" s="1">
        <v>4890125</v>
      </c>
      <c r="K25" s="1">
        <v>4938973</v>
      </c>
      <c r="L25" s="1">
        <v>4979815</v>
      </c>
      <c r="M25" s="1">
        <v>5016105</v>
      </c>
      <c r="N25" s="1">
        <v>5055099</v>
      </c>
      <c r="O25" s="1">
        <v>5091971</v>
      </c>
      <c r="P25" s="1">
        <v>5127097</v>
      </c>
      <c r="Q25" s="1">
        <v>5161768</v>
      </c>
      <c r="R25" s="1">
        <v>5193838</v>
      </c>
      <c r="S25" s="1">
        <v>5222840</v>
      </c>
      <c r="T25" s="1">
        <v>5250596</v>
      </c>
      <c r="U25" s="1">
        <v>5275942</v>
      </c>
      <c r="V25" s="1">
        <v>5299187</v>
      </c>
      <c r="W25" s="1">
        <v>5303294</v>
      </c>
      <c r="X25" s="1">
        <v>5305016</v>
      </c>
      <c r="Y25" s="1">
        <v>5325305</v>
      </c>
      <c r="Z25" s="1">
        <v>5346331</v>
      </c>
      <c r="AA25" s="1">
        <v>5361999</v>
      </c>
      <c r="AB25" s="1">
        <v>5373361</v>
      </c>
      <c r="AC25" s="1">
        <v>5383291</v>
      </c>
      <c r="AD25" s="1">
        <v>5390516</v>
      </c>
      <c r="AE25" s="1">
        <v>5396020</v>
      </c>
      <c r="AF25" s="1">
        <v>5388720</v>
      </c>
      <c r="AG25" s="1">
        <v>5378867</v>
      </c>
      <c r="AH25" s="1">
        <v>5376912</v>
      </c>
      <c r="AI25" s="1">
        <v>5373374</v>
      </c>
      <c r="AJ25" s="1">
        <v>5372280</v>
      </c>
      <c r="AK25" s="1">
        <v>5372807</v>
      </c>
      <c r="AL25" s="1">
        <v>5373054</v>
      </c>
      <c r="AM25" s="1">
        <v>5374622</v>
      </c>
      <c r="AN25" s="1">
        <v>5379233</v>
      </c>
      <c r="AO25" s="1">
        <v>5386406</v>
      </c>
      <c r="AP25" s="1">
        <v>5391428</v>
      </c>
      <c r="AQ25" s="1">
        <v>5398384</v>
      </c>
      <c r="AR25" s="1">
        <v>5407579</v>
      </c>
      <c r="AS25" s="1">
        <v>5413393</v>
      </c>
      <c r="AT25" s="1">
        <v>5418649</v>
      </c>
      <c r="AU25" s="1">
        <v>5423801</v>
      </c>
      <c r="AV25" s="1">
        <v>5430798</v>
      </c>
      <c r="AW25" s="1">
        <v>5439892</v>
      </c>
      <c r="AX25" s="1">
        <v>5446771</v>
      </c>
    </row>
    <row r="26" spans="1:50" x14ac:dyDescent="0.2">
      <c r="A26" s="1" t="s">
        <v>6</v>
      </c>
      <c r="B26" s="1">
        <v>1724891</v>
      </c>
      <c r="C26" s="1">
        <v>1738335</v>
      </c>
      <c r="D26" s="1">
        <v>1752233</v>
      </c>
      <c r="E26" s="1">
        <v>1766697</v>
      </c>
      <c r="F26" s="1">
        <v>1776132</v>
      </c>
      <c r="G26" s="1">
        <v>1793581</v>
      </c>
      <c r="H26" s="1">
        <v>1820249</v>
      </c>
      <c r="I26" s="1">
        <v>1842377</v>
      </c>
      <c r="J26" s="1">
        <v>1862548</v>
      </c>
      <c r="K26" s="1">
        <v>1882599</v>
      </c>
      <c r="L26" s="1">
        <v>1901315</v>
      </c>
      <c r="M26" s="1">
        <v>1906531</v>
      </c>
      <c r="N26" s="1">
        <v>1910334</v>
      </c>
      <c r="O26" s="1">
        <v>1922321</v>
      </c>
      <c r="P26" s="1">
        <v>1932154</v>
      </c>
      <c r="Q26" s="1">
        <v>1941641</v>
      </c>
      <c r="R26" s="1">
        <v>1965964</v>
      </c>
      <c r="S26" s="1">
        <v>1989776</v>
      </c>
      <c r="T26" s="1">
        <v>1995196</v>
      </c>
      <c r="U26" s="1">
        <v>1996351</v>
      </c>
      <c r="V26" s="1">
        <v>1998161</v>
      </c>
      <c r="W26" s="1">
        <v>1999429</v>
      </c>
      <c r="X26" s="1">
        <v>1996498</v>
      </c>
      <c r="Y26" s="1">
        <v>1991746</v>
      </c>
      <c r="Z26" s="1">
        <v>1989443</v>
      </c>
      <c r="AA26" s="1">
        <v>1989872</v>
      </c>
      <c r="AB26" s="1">
        <v>1988628</v>
      </c>
      <c r="AC26" s="1">
        <v>1985956</v>
      </c>
      <c r="AD26" s="1">
        <v>1981629</v>
      </c>
      <c r="AE26" s="1">
        <v>1983045</v>
      </c>
      <c r="AF26" s="1">
        <v>1988925</v>
      </c>
      <c r="AG26" s="1">
        <v>1992060</v>
      </c>
      <c r="AH26" s="1">
        <v>1994530</v>
      </c>
      <c r="AI26" s="1">
        <v>1995733</v>
      </c>
      <c r="AJ26" s="1">
        <v>1997012</v>
      </c>
      <c r="AK26" s="1">
        <v>2000474</v>
      </c>
      <c r="AL26" s="1">
        <v>2006868</v>
      </c>
      <c r="AM26" s="1">
        <v>2018122</v>
      </c>
      <c r="AN26" s="1">
        <v>2021316</v>
      </c>
      <c r="AO26" s="1">
        <v>2039669</v>
      </c>
      <c r="AP26" s="1">
        <v>2048583</v>
      </c>
      <c r="AQ26" s="1">
        <v>2052843</v>
      </c>
      <c r="AR26" s="1">
        <v>2057159</v>
      </c>
      <c r="AS26" s="1">
        <v>2059953</v>
      </c>
      <c r="AT26" s="1">
        <v>2061980</v>
      </c>
      <c r="AU26" s="1">
        <v>2063531</v>
      </c>
      <c r="AV26" s="1">
        <v>2065042</v>
      </c>
      <c r="AW26" s="1">
        <v>2066748</v>
      </c>
      <c r="AX26" s="1">
        <v>2073894</v>
      </c>
    </row>
    <row r="27" spans="1:50" x14ac:dyDescent="0.2">
      <c r="A27" s="1" t="s">
        <v>28</v>
      </c>
      <c r="B27" s="1">
        <v>2930079</v>
      </c>
      <c r="C27" s="1">
        <v>3020391</v>
      </c>
      <c r="D27" s="1">
        <v>3111264</v>
      </c>
      <c r="E27" s="1">
        <v>3203019</v>
      </c>
      <c r="F27" s="1">
        <v>3296095</v>
      </c>
      <c r="G27" s="1">
        <v>3390935</v>
      </c>
      <c r="H27" s="1">
        <v>3487644</v>
      </c>
      <c r="I27" s="1">
        <v>3586499</v>
      </c>
      <c r="J27" s="1">
        <v>3688385</v>
      </c>
      <c r="K27" s="1">
        <v>3794420</v>
      </c>
      <c r="L27" s="1">
        <v>3905413</v>
      </c>
      <c r="M27" s="1">
        <v>4020778</v>
      </c>
      <c r="N27" s="1">
        <v>4140258</v>
      </c>
      <c r="O27" s="1">
        <v>4265247</v>
      </c>
      <c r="P27" s="1">
        <v>4397525</v>
      </c>
      <c r="Q27" s="1">
        <v>4537789</v>
      </c>
      <c r="R27" s="1">
        <v>4687283</v>
      </c>
      <c r="S27" s="1">
        <v>4843951</v>
      </c>
      <c r="T27" s="1">
        <v>5001110</v>
      </c>
      <c r="U27" s="1">
        <v>5149803</v>
      </c>
      <c r="V27" s="1">
        <v>5283728</v>
      </c>
      <c r="W27" s="1">
        <v>5400714</v>
      </c>
      <c r="X27" s="1">
        <v>5502976</v>
      </c>
      <c r="Y27" s="1">
        <v>5594114</v>
      </c>
      <c r="Z27" s="1">
        <v>5679832</v>
      </c>
      <c r="AA27" s="1">
        <v>5764712</v>
      </c>
      <c r="AB27" s="1">
        <v>5849540</v>
      </c>
      <c r="AC27" s="1">
        <v>5934282</v>
      </c>
      <c r="AD27" s="1">
        <v>6021691</v>
      </c>
      <c r="AE27" s="1">
        <v>6114886</v>
      </c>
      <c r="AF27" s="1">
        <v>6216205</v>
      </c>
      <c r="AG27" s="1">
        <v>6327125</v>
      </c>
      <c r="AH27" s="1">
        <v>6447688</v>
      </c>
      <c r="AI27" s="1">
        <v>6576877</v>
      </c>
      <c r="AJ27" s="1">
        <v>6712841</v>
      </c>
      <c r="AK27" s="1">
        <v>6854176</v>
      </c>
      <c r="AL27" s="1">
        <v>7000557</v>
      </c>
      <c r="AM27" s="1">
        <v>7152385</v>
      </c>
      <c r="AN27" s="1">
        <v>7309728</v>
      </c>
      <c r="AO27" s="1">
        <v>7472819</v>
      </c>
      <c r="AP27" s="1">
        <v>7641630</v>
      </c>
      <c r="AQ27" s="1">
        <v>7815949</v>
      </c>
      <c r="AR27" s="1">
        <v>7995062</v>
      </c>
      <c r="AS27" s="1">
        <v>8177809</v>
      </c>
      <c r="AT27" s="1">
        <v>8362745</v>
      </c>
      <c r="AU27" s="1">
        <v>8548651</v>
      </c>
      <c r="AV27" s="1">
        <v>8734951</v>
      </c>
      <c r="AW27" s="1">
        <v>8921343</v>
      </c>
      <c r="AX27" s="1">
        <v>9100837</v>
      </c>
    </row>
    <row r="28" spans="1:50" x14ac:dyDescent="0.2">
      <c r="A28" s="1" t="s">
        <v>32</v>
      </c>
      <c r="B28" s="1">
        <v>2195173</v>
      </c>
      <c r="C28" s="1">
        <v>2258964</v>
      </c>
      <c r="D28" s="1">
        <v>2324013</v>
      </c>
      <c r="E28" s="1">
        <v>2390213</v>
      </c>
      <c r="F28" s="1">
        <v>2457382</v>
      </c>
      <c r="G28" s="1">
        <v>2525361</v>
      </c>
      <c r="H28" s="1">
        <v>2594311</v>
      </c>
      <c r="I28" s="1">
        <v>2664257</v>
      </c>
      <c r="J28" s="1">
        <v>2734896</v>
      </c>
      <c r="K28" s="1">
        <v>2805818</v>
      </c>
      <c r="L28" s="1">
        <v>2876808</v>
      </c>
      <c r="M28" s="1">
        <v>2947779</v>
      </c>
      <c r="N28" s="1">
        <v>3019066</v>
      </c>
      <c r="O28" s="1">
        <v>3091511</v>
      </c>
      <c r="P28" s="1">
        <v>3166221</v>
      </c>
      <c r="Q28" s="1">
        <v>3244018</v>
      </c>
      <c r="R28" s="1">
        <v>3324456</v>
      </c>
      <c r="S28" s="1">
        <v>3407319</v>
      </c>
      <c r="T28" s="1">
        <v>3493894</v>
      </c>
      <c r="U28" s="1">
        <v>3585867</v>
      </c>
      <c r="V28" s="1">
        <v>3683966</v>
      </c>
      <c r="W28" s="1">
        <v>3789185</v>
      </c>
      <c r="X28" s="1">
        <v>3899843</v>
      </c>
      <c r="Y28" s="1">
        <v>4010789</v>
      </c>
      <c r="Z28" s="1">
        <v>4115099</v>
      </c>
      <c r="AA28" s="1">
        <v>4207840</v>
      </c>
      <c r="AB28" s="1">
        <v>4287344</v>
      </c>
      <c r="AC28" s="1">
        <v>4355114</v>
      </c>
      <c r="AD28" s="1">
        <v>4413477</v>
      </c>
      <c r="AE28" s="1">
        <v>4466132</v>
      </c>
      <c r="AF28" s="1">
        <v>4516131</v>
      </c>
      <c r="AG28" s="1">
        <v>4564080</v>
      </c>
      <c r="AH28" s="1">
        <v>4610002</v>
      </c>
      <c r="AI28" s="1">
        <v>4655741</v>
      </c>
      <c r="AJ28" s="1">
        <v>4703398</v>
      </c>
      <c r="AK28" s="1">
        <v>4754641</v>
      </c>
      <c r="AL28" s="1">
        <v>4810105</v>
      </c>
      <c r="AM28" s="1">
        <v>4870137</v>
      </c>
      <c r="AN28" s="1">
        <v>4935762</v>
      </c>
      <c r="AO28" s="1">
        <v>5007950</v>
      </c>
      <c r="AP28" s="1">
        <v>5087210</v>
      </c>
      <c r="AQ28" s="1">
        <v>5174061</v>
      </c>
      <c r="AR28" s="1">
        <v>5267839</v>
      </c>
      <c r="AS28" s="1">
        <v>5366277</v>
      </c>
      <c r="AT28" s="1">
        <v>5466241</v>
      </c>
      <c r="AU28" s="1">
        <v>5565284</v>
      </c>
      <c r="AV28" s="1">
        <v>5662544</v>
      </c>
      <c r="AW28" s="1">
        <v>5758075</v>
      </c>
      <c r="AX28" s="1">
        <v>5850908</v>
      </c>
    </row>
    <row r="29" spans="1:50" x14ac:dyDescent="0.2">
      <c r="A29" s="1" t="s">
        <v>8</v>
      </c>
      <c r="B29" s="1">
        <v>47086761</v>
      </c>
      <c r="C29" s="1">
        <v>47433805</v>
      </c>
      <c r="D29" s="1">
        <v>47783011</v>
      </c>
      <c r="E29" s="1">
        <v>48127172</v>
      </c>
      <c r="F29" s="1">
        <v>48455122</v>
      </c>
      <c r="G29" s="1">
        <v>48758987</v>
      </c>
      <c r="H29" s="1">
        <v>49036456</v>
      </c>
      <c r="I29" s="1">
        <v>49290905</v>
      </c>
      <c r="J29" s="1">
        <v>49526883</v>
      </c>
      <c r="K29" s="1">
        <v>49751257</v>
      </c>
      <c r="L29" s="1">
        <v>49968812</v>
      </c>
      <c r="M29" s="1">
        <v>50221000</v>
      </c>
      <c r="N29" s="1">
        <v>50384000</v>
      </c>
      <c r="O29" s="1">
        <v>50564000</v>
      </c>
      <c r="P29" s="1">
        <v>50754000</v>
      </c>
      <c r="Q29" s="1">
        <v>50917000</v>
      </c>
      <c r="R29" s="1">
        <v>51097000</v>
      </c>
      <c r="S29" s="1">
        <v>51293000</v>
      </c>
      <c r="T29" s="1">
        <v>51521000</v>
      </c>
      <c r="U29" s="1">
        <v>51773000</v>
      </c>
      <c r="V29" s="1">
        <v>51892000</v>
      </c>
      <c r="W29" s="1">
        <v>52000470</v>
      </c>
      <c r="X29" s="1">
        <v>52150266</v>
      </c>
      <c r="Y29" s="1">
        <v>52179210</v>
      </c>
      <c r="Z29" s="1">
        <v>51921041</v>
      </c>
      <c r="AA29" s="1">
        <v>51512299</v>
      </c>
      <c r="AB29" s="1">
        <v>51057189</v>
      </c>
      <c r="AC29" s="1">
        <v>50594105</v>
      </c>
      <c r="AD29" s="1">
        <v>50143939</v>
      </c>
      <c r="AE29" s="1">
        <v>49673350</v>
      </c>
      <c r="AF29" s="1">
        <v>49175848</v>
      </c>
      <c r="AG29" s="1">
        <v>48683865</v>
      </c>
      <c r="AH29" s="1">
        <v>48202500</v>
      </c>
      <c r="AI29" s="1">
        <v>47812950</v>
      </c>
      <c r="AJ29" s="1">
        <v>47451600</v>
      </c>
      <c r="AK29" s="1">
        <v>47105150</v>
      </c>
      <c r="AL29" s="1">
        <v>46787750</v>
      </c>
      <c r="AM29" s="1">
        <v>46509350</v>
      </c>
      <c r="AN29" s="1">
        <v>46258200</v>
      </c>
      <c r="AO29" s="1">
        <v>46053300</v>
      </c>
      <c r="AP29" s="1">
        <v>45870700</v>
      </c>
      <c r="AQ29" s="1">
        <v>45706100</v>
      </c>
      <c r="AR29" s="1">
        <v>45593300</v>
      </c>
      <c r="AS29" s="1">
        <v>45489600</v>
      </c>
      <c r="AT29" s="1">
        <v>45271947</v>
      </c>
      <c r="AU29" s="1">
        <v>45154029</v>
      </c>
      <c r="AV29" s="1">
        <v>45004645</v>
      </c>
      <c r="AW29" s="1">
        <v>44831159</v>
      </c>
      <c r="AX29" s="1">
        <v>44622516</v>
      </c>
    </row>
    <row r="30" spans="1:50" x14ac:dyDescent="0.2">
      <c r="A30" s="1" t="s">
        <v>33</v>
      </c>
      <c r="B30" s="1">
        <v>12110028</v>
      </c>
      <c r="C30" s="1">
        <v>12477058</v>
      </c>
      <c r="D30" s="1">
        <v>12828625</v>
      </c>
      <c r="E30" s="1">
        <v>13173590</v>
      </c>
      <c r="F30" s="1">
        <v>13525094</v>
      </c>
      <c r="G30" s="1">
        <v>13892638</v>
      </c>
      <c r="H30" s="1">
        <v>14279120</v>
      </c>
      <c r="I30" s="1">
        <v>14681459</v>
      </c>
      <c r="J30" s="1">
        <v>15096012</v>
      </c>
      <c r="K30" s="1">
        <v>15516862</v>
      </c>
      <c r="L30" s="1">
        <v>15939744</v>
      </c>
      <c r="M30" s="1">
        <v>16363562</v>
      </c>
      <c r="N30" s="1">
        <v>16790069</v>
      </c>
      <c r="O30" s="1">
        <v>17221212</v>
      </c>
      <c r="P30" s="1">
        <v>17659975</v>
      </c>
      <c r="Q30" s="1">
        <v>18108300</v>
      </c>
      <c r="R30" s="1">
        <v>18565477</v>
      </c>
      <c r="S30" s="1">
        <v>19029877</v>
      </c>
      <c r="T30" s="1">
        <v>19501225</v>
      </c>
      <c r="U30" s="1">
        <v>19979127</v>
      </c>
      <c r="V30" s="1">
        <v>20510000</v>
      </c>
      <c r="W30" s="1">
        <v>20952000</v>
      </c>
      <c r="X30" s="1">
        <v>21449000</v>
      </c>
      <c r="Y30" s="1">
        <v>21942000</v>
      </c>
      <c r="Z30" s="1">
        <v>22377000</v>
      </c>
      <c r="AA30" s="1">
        <v>22785000</v>
      </c>
      <c r="AB30" s="1">
        <v>23225000</v>
      </c>
      <c r="AC30" s="1">
        <v>23667000</v>
      </c>
      <c r="AD30" s="1">
        <v>24051000</v>
      </c>
      <c r="AE30" s="1">
        <v>24311650</v>
      </c>
      <c r="AF30" s="1">
        <v>24650400</v>
      </c>
      <c r="AG30" s="1">
        <v>24964450</v>
      </c>
      <c r="AH30" s="1">
        <v>25271850</v>
      </c>
      <c r="AI30" s="1">
        <v>25567650</v>
      </c>
      <c r="AJ30" s="1">
        <v>25864350</v>
      </c>
      <c r="AK30" s="1">
        <v>26167000</v>
      </c>
      <c r="AL30" s="1">
        <v>26488250</v>
      </c>
      <c r="AM30" s="1">
        <v>26868000</v>
      </c>
      <c r="AN30" s="1">
        <v>27302800</v>
      </c>
      <c r="AO30" s="1">
        <v>27767400</v>
      </c>
      <c r="AP30" s="1">
        <v>28562400</v>
      </c>
      <c r="AQ30" s="1">
        <v>29339400</v>
      </c>
      <c r="AR30" s="1">
        <v>29774500</v>
      </c>
      <c r="AS30" s="1">
        <v>30243200</v>
      </c>
      <c r="AT30" s="1">
        <v>30757700</v>
      </c>
      <c r="AU30" s="1">
        <v>31298900</v>
      </c>
      <c r="AV30" s="1">
        <v>31847900</v>
      </c>
      <c r="AW30" s="1">
        <v>32387200</v>
      </c>
      <c r="AX30" s="1">
        <v>32955400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20C-F191-9E4B-8365-EECE0ACA2BA2}">
  <dimension ref="A1:U30"/>
  <sheetViews>
    <sheetView workbookViewId="0">
      <selection activeCell="B61" sqref="B61"/>
    </sheetView>
  </sheetViews>
  <sheetFormatPr baseColWidth="10" defaultRowHeight="16" x14ac:dyDescent="0.2"/>
  <cols>
    <col min="1" max="16384" width="10.83203125" style="1"/>
  </cols>
  <sheetData>
    <row r="1" spans="1:21" x14ac:dyDescent="0.2">
      <c r="B1" s="1">
        <v>1996</v>
      </c>
      <c r="C1" s="1">
        <v>1997</v>
      </c>
      <c r="D1" s="1">
        <v>1998</v>
      </c>
      <c r="E1" s="1">
        <v>1999</v>
      </c>
      <c r="F1" s="1">
        <v>2000</v>
      </c>
      <c r="G1" s="1">
        <v>2001</v>
      </c>
      <c r="H1" s="1">
        <v>2002</v>
      </c>
      <c r="I1" s="1">
        <v>2003</v>
      </c>
      <c r="J1" s="1">
        <v>2004</v>
      </c>
      <c r="K1" s="1">
        <v>2005</v>
      </c>
      <c r="L1" s="1">
        <v>2006</v>
      </c>
      <c r="M1" s="1">
        <v>2007</v>
      </c>
      <c r="N1" s="1">
        <v>2008</v>
      </c>
      <c r="O1" s="1">
        <v>2009</v>
      </c>
      <c r="P1" s="1">
        <v>2010</v>
      </c>
      <c r="Q1" s="1">
        <v>2011</v>
      </c>
      <c r="R1" s="1">
        <v>2012</v>
      </c>
      <c r="S1" s="1">
        <v>2013</v>
      </c>
      <c r="T1" s="1">
        <v>2014</v>
      </c>
      <c r="U1" s="1">
        <v>2015</v>
      </c>
    </row>
    <row r="2" spans="1:21" x14ac:dyDescent="0.2">
      <c r="A2" s="1" t="s">
        <v>27</v>
      </c>
      <c r="K2" s="1">
        <v>2.4</v>
      </c>
      <c r="P2" s="1">
        <v>3.3</v>
      </c>
      <c r="U2" s="1">
        <v>3.6</v>
      </c>
    </row>
    <row r="3" spans="1:21" x14ac:dyDescent="0.2">
      <c r="A3" s="1" t="s">
        <v>23</v>
      </c>
      <c r="F3" s="1">
        <v>2.5</v>
      </c>
      <c r="K3" s="1">
        <v>2.9</v>
      </c>
      <c r="P3" s="1">
        <v>2.6</v>
      </c>
      <c r="U3" s="1">
        <v>3.5</v>
      </c>
    </row>
    <row r="4" spans="1:21" x14ac:dyDescent="0.2">
      <c r="A4" s="1" t="s">
        <v>29</v>
      </c>
      <c r="F4" s="1">
        <v>1.5</v>
      </c>
      <c r="K4" s="1">
        <v>2.2000000000000002</v>
      </c>
      <c r="P4" s="1">
        <v>2.4</v>
      </c>
      <c r="U4" s="1">
        <v>2.9</v>
      </c>
    </row>
    <row r="5" spans="1:21" x14ac:dyDescent="0.2">
      <c r="A5" s="1" t="s">
        <v>3</v>
      </c>
      <c r="D5" s="1">
        <v>3.9</v>
      </c>
      <c r="F5" s="1">
        <v>4.0999999999999996</v>
      </c>
      <c r="K5" s="1">
        <v>2.6</v>
      </c>
      <c r="P5" s="1">
        <v>2.5</v>
      </c>
      <c r="U5" s="1">
        <v>3.2</v>
      </c>
    </row>
    <row r="6" spans="1:21" x14ac:dyDescent="0.2">
      <c r="A6" s="1" t="s">
        <v>36</v>
      </c>
      <c r="K6" s="1">
        <v>2.9</v>
      </c>
      <c r="P6" s="1">
        <v>3.2</v>
      </c>
      <c r="U6" s="1">
        <v>3.8</v>
      </c>
    </row>
    <row r="7" spans="1:21" x14ac:dyDescent="0.2">
      <c r="A7" s="1" t="s">
        <v>22</v>
      </c>
      <c r="D7" s="1">
        <v>2.9</v>
      </c>
      <c r="F7" s="1">
        <v>3.5</v>
      </c>
      <c r="K7" s="1">
        <v>4</v>
      </c>
      <c r="P7" s="1">
        <v>3.6</v>
      </c>
      <c r="U7" s="1">
        <v>4.0999999999999996</v>
      </c>
    </row>
    <row r="8" spans="1:21" x14ac:dyDescent="0.2">
      <c r="A8" s="1" t="s">
        <v>12</v>
      </c>
      <c r="F8" s="1">
        <v>3.7</v>
      </c>
      <c r="K8" s="1">
        <v>3.4</v>
      </c>
      <c r="P8" s="1">
        <v>4.0999999999999996</v>
      </c>
      <c r="U8" s="1">
        <v>5.0999999999999996</v>
      </c>
    </row>
    <row r="9" spans="1:21" x14ac:dyDescent="0.2">
      <c r="A9" s="1" t="s">
        <v>37</v>
      </c>
      <c r="B9" s="1">
        <v>5.37</v>
      </c>
      <c r="D9" s="1">
        <v>4.8</v>
      </c>
      <c r="F9" s="1">
        <v>4.3</v>
      </c>
      <c r="K9" s="1">
        <v>4.3</v>
      </c>
      <c r="P9" s="1">
        <v>4.5999999999999996</v>
      </c>
      <c r="U9" s="1">
        <v>5.6</v>
      </c>
    </row>
    <row r="10" spans="1:21" x14ac:dyDescent="0.2">
      <c r="A10" s="1" t="s">
        <v>13</v>
      </c>
      <c r="D10" s="1">
        <v>5.7</v>
      </c>
      <c r="F10" s="1">
        <v>5.7</v>
      </c>
      <c r="K10" s="1">
        <v>6.4</v>
      </c>
      <c r="P10" s="1">
        <v>6.5</v>
      </c>
      <c r="U10" s="1">
        <v>7</v>
      </c>
    </row>
    <row r="11" spans="1:21" x14ac:dyDescent="0.2">
      <c r="A11" s="1" t="s">
        <v>26</v>
      </c>
      <c r="K11" s="1">
        <v>2.2999999999999998</v>
      </c>
      <c r="P11" s="1">
        <v>3.8</v>
      </c>
      <c r="U11" s="1">
        <v>5.2</v>
      </c>
    </row>
    <row r="12" spans="1:21" x14ac:dyDescent="0.2">
      <c r="A12" s="1" t="s">
        <v>9</v>
      </c>
      <c r="D12" s="1">
        <v>5</v>
      </c>
      <c r="F12" s="1">
        <v>5.2</v>
      </c>
      <c r="K12" s="1">
        <v>5</v>
      </c>
      <c r="P12" s="1">
        <v>4.7</v>
      </c>
      <c r="U12" s="1">
        <v>5.0999999999999996</v>
      </c>
    </row>
    <row r="13" spans="1:21" x14ac:dyDescent="0.2">
      <c r="A13" s="1" t="s">
        <v>7</v>
      </c>
      <c r="F13" s="1">
        <v>3</v>
      </c>
      <c r="K13" s="1">
        <v>2.6</v>
      </c>
      <c r="P13" s="1">
        <v>2.9</v>
      </c>
      <c r="U13" s="1">
        <v>2.8</v>
      </c>
    </row>
    <row r="14" spans="1:21" x14ac:dyDescent="0.2">
      <c r="A14" s="1" t="s">
        <v>10</v>
      </c>
      <c r="P14" s="1">
        <v>2.8</v>
      </c>
      <c r="U14" s="1">
        <v>3.3</v>
      </c>
    </row>
    <row r="15" spans="1:21" x14ac:dyDescent="0.2">
      <c r="A15" s="1" t="s">
        <v>14</v>
      </c>
      <c r="K15" s="1">
        <v>2.2999999999999998</v>
      </c>
      <c r="P15" s="1">
        <v>2</v>
      </c>
      <c r="U15" s="1">
        <v>2.8</v>
      </c>
    </row>
    <row r="16" spans="1:21" x14ac:dyDescent="0.2">
      <c r="A16" s="1" t="s">
        <v>20</v>
      </c>
      <c r="D16" s="1">
        <v>2.7</v>
      </c>
      <c r="F16" s="1">
        <v>3.4</v>
      </c>
      <c r="K16" s="1">
        <v>4.2</v>
      </c>
      <c r="P16" s="1">
        <v>4.3</v>
      </c>
      <c r="U16" s="1">
        <v>5.6</v>
      </c>
    </row>
    <row r="17" spans="1:21" x14ac:dyDescent="0.2">
      <c r="A17" s="1" t="s">
        <v>21</v>
      </c>
      <c r="F17" s="1">
        <v>4.0999999999999996</v>
      </c>
      <c r="K17" s="1">
        <v>4.8</v>
      </c>
      <c r="P17" s="1">
        <v>5</v>
      </c>
      <c r="U17" s="1">
        <v>5.9</v>
      </c>
    </row>
    <row r="18" spans="1:21" x14ac:dyDescent="0.2">
      <c r="A18" s="1" t="s">
        <v>15</v>
      </c>
      <c r="K18" s="1">
        <v>2.7</v>
      </c>
      <c r="P18" s="1">
        <v>4.0999999999999996</v>
      </c>
      <c r="U18" s="1">
        <v>4.2</v>
      </c>
    </row>
    <row r="19" spans="1:21" x14ac:dyDescent="0.2">
      <c r="A19" s="1" t="s">
        <v>16</v>
      </c>
      <c r="F19" s="1">
        <v>2.6</v>
      </c>
      <c r="K19" s="1">
        <v>2.9</v>
      </c>
      <c r="P19" s="1">
        <v>2.9</v>
      </c>
      <c r="U19" s="1">
        <v>3.3</v>
      </c>
    </row>
    <row r="20" spans="1:21" x14ac:dyDescent="0.2">
      <c r="A20" s="1" t="s">
        <v>24</v>
      </c>
      <c r="D20" s="1">
        <v>3</v>
      </c>
      <c r="F20" s="1">
        <v>1.3</v>
      </c>
      <c r="K20" s="1">
        <v>2.8</v>
      </c>
      <c r="P20" s="1">
        <v>3.7</v>
      </c>
      <c r="U20" s="1">
        <v>4.4000000000000004</v>
      </c>
    </row>
    <row r="21" spans="1:21" x14ac:dyDescent="0.2">
      <c r="A21" s="1" t="s">
        <v>11</v>
      </c>
      <c r="B21" s="1">
        <v>5.57</v>
      </c>
      <c r="D21" s="1">
        <v>4.5999999999999996</v>
      </c>
      <c r="F21" s="1">
        <v>4.0999999999999996</v>
      </c>
      <c r="K21" s="1">
        <v>3.4</v>
      </c>
      <c r="P21" s="1">
        <v>5.3</v>
      </c>
      <c r="U21" s="1">
        <v>6.3</v>
      </c>
    </row>
    <row r="22" spans="1:21" x14ac:dyDescent="0.2">
      <c r="A22" s="1" t="s">
        <v>17</v>
      </c>
      <c r="D22" s="1">
        <v>3</v>
      </c>
      <c r="F22" s="1">
        <v>2.9</v>
      </c>
      <c r="K22" s="1">
        <v>3</v>
      </c>
      <c r="P22" s="1">
        <v>3.7</v>
      </c>
      <c r="U22" s="1">
        <v>4.5999999999999996</v>
      </c>
    </row>
    <row r="23" spans="1:21" x14ac:dyDescent="0.2">
      <c r="A23" s="1" t="s">
        <v>38</v>
      </c>
      <c r="B23" s="1">
        <v>2.58</v>
      </c>
      <c r="D23" s="1">
        <v>2.4</v>
      </c>
      <c r="F23" s="1">
        <v>2.1</v>
      </c>
      <c r="K23" s="1">
        <v>2.4</v>
      </c>
      <c r="P23" s="1">
        <v>2.1</v>
      </c>
      <c r="U23" s="1">
        <v>2.9</v>
      </c>
    </row>
    <row r="24" spans="1:21" x14ac:dyDescent="0.2">
      <c r="A24" s="1" t="s">
        <v>19</v>
      </c>
      <c r="D24" s="1">
        <v>3</v>
      </c>
      <c r="F24" s="1">
        <v>1.3</v>
      </c>
      <c r="K24" s="1">
        <v>2.8</v>
      </c>
      <c r="P24" s="1">
        <v>3.5</v>
      </c>
      <c r="U24" s="1">
        <v>4</v>
      </c>
    </row>
    <row r="25" spans="1:21" x14ac:dyDescent="0.2">
      <c r="A25" s="1" t="s">
        <v>4</v>
      </c>
      <c r="D25" s="1">
        <v>3.9</v>
      </c>
      <c r="F25" s="1">
        <v>3.5</v>
      </c>
      <c r="K25" s="1">
        <v>4.3</v>
      </c>
      <c r="P25" s="1">
        <v>4.3</v>
      </c>
      <c r="U25" s="1">
        <v>5.0999999999999996</v>
      </c>
    </row>
    <row r="26" spans="1:21" x14ac:dyDescent="0.2">
      <c r="A26" s="1" t="s">
        <v>6</v>
      </c>
      <c r="F26" s="1">
        <v>5.5</v>
      </c>
      <c r="K26" s="1">
        <v>6.1</v>
      </c>
      <c r="P26" s="1">
        <v>6.4</v>
      </c>
      <c r="U26" s="1">
        <v>6</v>
      </c>
    </row>
    <row r="27" spans="1:21" x14ac:dyDescent="0.2">
      <c r="A27" s="1" t="s">
        <v>28</v>
      </c>
      <c r="K27" s="1">
        <v>2.1</v>
      </c>
      <c r="P27" s="1">
        <v>2.1</v>
      </c>
      <c r="U27" s="1">
        <v>2.6</v>
      </c>
    </row>
    <row r="28" spans="1:21" x14ac:dyDescent="0.2">
      <c r="A28" s="1" t="s">
        <v>32</v>
      </c>
      <c r="K28" s="1">
        <v>1.8</v>
      </c>
      <c r="P28" s="1">
        <v>1.6</v>
      </c>
      <c r="U28" s="1">
        <v>1.8</v>
      </c>
    </row>
    <row r="29" spans="1:21" x14ac:dyDescent="0.2">
      <c r="A29" s="1" t="s">
        <v>8</v>
      </c>
      <c r="D29" s="1">
        <v>2.8</v>
      </c>
      <c r="F29" s="1">
        <v>1.5</v>
      </c>
      <c r="K29" s="1">
        <v>2.6</v>
      </c>
      <c r="P29" s="1">
        <v>2.4</v>
      </c>
      <c r="U29" s="1">
        <v>2.7</v>
      </c>
    </row>
    <row r="30" spans="1:21" x14ac:dyDescent="0.2">
      <c r="A30" s="1" t="s">
        <v>33</v>
      </c>
      <c r="F30" s="1">
        <v>2.4</v>
      </c>
      <c r="K30" s="1">
        <v>2.2000000000000002</v>
      </c>
      <c r="P30" s="1">
        <v>1.6</v>
      </c>
      <c r="U30" s="1">
        <v>1.9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79E9-CD0C-2148-A2F4-7E32AAAFE324}">
  <dimension ref="A1:AE2"/>
  <sheetViews>
    <sheetView workbookViewId="0">
      <selection activeCell="B61" sqref="B61"/>
    </sheetView>
  </sheetViews>
  <sheetFormatPr baseColWidth="10" defaultRowHeight="16" x14ac:dyDescent="0.2"/>
  <cols>
    <col min="1" max="16384" width="10.83203125" style="1"/>
  </cols>
  <sheetData>
    <row r="1" spans="1:31" x14ac:dyDescent="0.2">
      <c r="B1" s="1">
        <v>1989</v>
      </c>
      <c r="C1" s="1">
        <v>1990</v>
      </c>
      <c r="D1" s="1">
        <v>1991</v>
      </c>
      <c r="E1" s="1">
        <v>1992</v>
      </c>
      <c r="F1" s="1">
        <v>1993</v>
      </c>
      <c r="G1" s="1">
        <v>1994</v>
      </c>
      <c r="H1" s="1">
        <v>1995</v>
      </c>
      <c r="I1" s="1">
        <v>1996</v>
      </c>
      <c r="J1" s="1">
        <v>1997</v>
      </c>
      <c r="K1" s="1">
        <v>1998</v>
      </c>
      <c r="L1" s="1">
        <v>1999</v>
      </c>
      <c r="M1" s="1">
        <v>2000</v>
      </c>
      <c r="N1" s="1">
        <v>2001</v>
      </c>
      <c r="O1" s="1">
        <v>2002</v>
      </c>
      <c r="P1" s="1">
        <v>2003</v>
      </c>
      <c r="Q1" s="1">
        <v>2004</v>
      </c>
      <c r="R1" s="1">
        <v>2005</v>
      </c>
      <c r="S1" s="1">
        <v>2006</v>
      </c>
      <c r="T1" s="1">
        <v>2007</v>
      </c>
      <c r="U1" s="1">
        <v>2008</v>
      </c>
      <c r="V1" s="1">
        <v>2009</v>
      </c>
      <c r="W1" s="1">
        <v>2010</v>
      </c>
      <c r="X1" s="1">
        <v>2011</v>
      </c>
      <c r="Y1" s="1">
        <v>2012</v>
      </c>
      <c r="Z1" s="1">
        <v>2013</v>
      </c>
      <c r="AA1" s="1">
        <v>2014</v>
      </c>
      <c r="AB1" s="1">
        <v>2015</v>
      </c>
      <c r="AC1" s="1">
        <v>2016</v>
      </c>
      <c r="AD1" s="1">
        <v>2017</v>
      </c>
      <c r="AE1" s="1">
        <v>2018</v>
      </c>
    </row>
    <row r="2" spans="1:31" x14ac:dyDescent="0.2">
      <c r="A2" s="1" t="s">
        <v>11</v>
      </c>
      <c r="B2" s="1">
        <f>AVERAGE(2,1,1,0,1,4)</f>
        <v>1.5</v>
      </c>
      <c r="C2" s="1">
        <f>AVERAGE(2,6,14,16,12,14,9,14,15,8)</f>
        <v>11</v>
      </c>
      <c r="D2" s="1">
        <f>AVERAGE(13,13,15,20,8,11,6,10,8,10,5)</f>
        <v>10.818181818181818</v>
      </c>
      <c r="E2" s="1">
        <f>AVERAGE(4,2,2,2,3,4,6,5)</f>
        <v>3.5</v>
      </c>
      <c r="F2" s="1">
        <f>AVERAGE(4,5,4,6,4,3,5,5,8,6,7,6)</f>
        <v>5.25</v>
      </c>
      <c r="G2" s="1">
        <f>AVERAGE(6,5,5,6,6,9,9,8,8,7,9)</f>
        <v>7.0909090909090908</v>
      </c>
      <c r="H2" s="1">
        <f>AVERAGE(9,8,7,9,11,10,14,12,12,12,19,15)</f>
        <v>11.5</v>
      </c>
      <c r="I2" s="1">
        <f>AVERAGE(24,25,18,16,16,13,16,19,17,16,17,20)</f>
        <v>18.083333333333332</v>
      </c>
      <c r="J2" s="1">
        <f>AVERAGE(18,19,17,17,20,23,25,21,24,24,20,18)</f>
        <v>20.5</v>
      </c>
      <c r="K2" s="1">
        <f>AVERAGE(19,21,18,18,21,20,19,18,19,20,19,17)</f>
        <v>19.083333333333332</v>
      </c>
      <c r="L2" s="1">
        <f>AVERAGE(17,14,10,10,12,12,10,8,10,8,10,10)</f>
        <v>10.916666666666666</v>
      </c>
      <c r="M2" s="1">
        <f>AVERAGE(12,12,7,8,9,6,8,7,9,7,8,6)</f>
        <v>8.25</v>
      </c>
      <c r="N2" s="1">
        <f>AVERAGE(9,7,7,5,4,4,5,3,4,3,3,2)</f>
        <v>4.666666666666667</v>
      </c>
      <c r="O2" s="1">
        <f>AVERAGE(3,2,3,3,2,3,2,3,3,4,6,4)</f>
        <v>3.1666666666666665</v>
      </c>
      <c r="P2" s="1">
        <f>AVERAGE(4,3,3,3,3,3,4,4,5,5,4,6)</f>
        <v>3.9166666666666665</v>
      </c>
      <c r="Q2" s="1">
        <f>AVERAGE(6,5,5,6,9,11,7,10,10,10,10,12)</f>
        <v>8.4166666666666661</v>
      </c>
      <c r="R2" s="1">
        <f>AVERAGE(13,11,11,13,12,10,9,12,11,9,13,13)</f>
        <v>11.416666666666666</v>
      </c>
      <c r="S2" s="1">
        <f>AVERAGE(15,18,15,14,17,16,17,18,16,20,22,26)</f>
        <v>17.833333333333332</v>
      </c>
      <c r="T2" s="1">
        <f>AVERAGE(24,21,24,27,31,31,29,29,36,32,33,31)</f>
        <v>29</v>
      </c>
      <c r="U2" s="1">
        <f>AVERAGE(36,30,32,31,32,28,27,28,34,28,27,24)</f>
        <v>29.75</v>
      </c>
      <c r="V2" s="1">
        <f>AVERAGE(26,13,11,16,18,16,14,19,20,21,17,21)</f>
        <v>17.666666666666668</v>
      </c>
      <c r="W2" s="1">
        <f>AVERAGE(21,21,21,26,29,27,28,22,22,19,21,22)</f>
        <v>23.25</v>
      </c>
      <c r="X2" s="1">
        <f>AVERAGE(20,18,17,16,19,17,20,20,21,24,22,19)</f>
        <v>19.416666666666668</v>
      </c>
      <c r="Y2" s="1">
        <f>AVERAGE(22,23,17,18,19,22,23,18,17,13,17,15)</f>
        <v>18.666666666666668</v>
      </c>
      <c r="Z2" s="1">
        <f>AVERAGE(17,11,12,13,15,14,14,13,15,14,15,19)</f>
        <v>14.333333333333334</v>
      </c>
      <c r="AA2" s="1">
        <f>AVERAGE(20,19,19,18,23,26,20,21,24,23,26,28)</f>
        <v>22.25</v>
      </c>
      <c r="AB2" s="1">
        <f>AVERAGE(21,21,21,21,22,24,23,24,27,25,31,29)</f>
        <v>24.083333333333332</v>
      </c>
      <c r="AC2" s="1">
        <f>AVERAGE(32,29,32,32,30,29,31,32,31,33,32,31)</f>
        <v>31.166666666666668</v>
      </c>
      <c r="AD2" s="1">
        <f>AVERAGE(33,31,31,39,42,45,44,49,52,53,47,51)</f>
        <v>43.083333333333336</v>
      </c>
      <c r="AE2" s="1">
        <f>AVERAGE(57,55,55,57,50,50,47,49,52,53,55,51)</f>
        <v>52.583333333333336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505F-ED20-5846-889A-4A8AD7A8A00C}">
  <dimension ref="A1:AE2"/>
  <sheetViews>
    <sheetView workbookViewId="0">
      <selection activeCell="B61" sqref="B61"/>
    </sheetView>
  </sheetViews>
  <sheetFormatPr baseColWidth="10" defaultRowHeight="16" x14ac:dyDescent="0.2"/>
  <cols>
    <col min="1" max="16384" width="10.83203125" style="1"/>
  </cols>
  <sheetData>
    <row r="1" spans="1:31" x14ac:dyDescent="0.2">
      <c r="B1" s="1">
        <v>1989</v>
      </c>
      <c r="C1" s="1">
        <v>1990</v>
      </c>
      <c r="D1" s="1">
        <v>1991</v>
      </c>
      <c r="E1" s="1">
        <v>1992</v>
      </c>
      <c r="F1" s="1">
        <v>1993</v>
      </c>
      <c r="G1" s="1">
        <v>1994</v>
      </c>
      <c r="H1" s="1">
        <v>1995</v>
      </c>
      <c r="I1" s="1">
        <v>1996</v>
      </c>
      <c r="J1" s="1">
        <v>1997</v>
      </c>
      <c r="K1" s="1">
        <v>1998</v>
      </c>
      <c r="L1" s="1">
        <v>1999</v>
      </c>
      <c r="M1" s="1">
        <v>2000</v>
      </c>
      <c r="N1" s="1">
        <v>2001</v>
      </c>
      <c r="O1" s="1">
        <v>2002</v>
      </c>
      <c r="P1" s="1">
        <v>2003</v>
      </c>
      <c r="Q1" s="1">
        <v>2004</v>
      </c>
      <c r="R1" s="1">
        <v>2005</v>
      </c>
      <c r="S1" s="1">
        <v>2006</v>
      </c>
      <c r="T1" s="1">
        <v>2007</v>
      </c>
      <c r="U1" s="1">
        <v>2008</v>
      </c>
      <c r="V1" s="1">
        <v>2009</v>
      </c>
      <c r="W1" s="1">
        <v>2010</v>
      </c>
      <c r="X1" s="1">
        <v>2011</v>
      </c>
      <c r="Y1" s="1">
        <v>2012</v>
      </c>
      <c r="Z1" s="1">
        <v>2013</v>
      </c>
      <c r="AA1" s="1">
        <v>2014</v>
      </c>
      <c r="AB1" s="1">
        <v>2015</v>
      </c>
      <c r="AC1" s="1">
        <v>2016</v>
      </c>
      <c r="AD1" s="1">
        <v>2017</v>
      </c>
      <c r="AE1" s="1">
        <v>2018</v>
      </c>
    </row>
    <row r="2" spans="1:31" x14ac:dyDescent="0.2">
      <c r="A2" s="1" t="s">
        <v>11</v>
      </c>
      <c r="B2" s="1">
        <f>AVERAGE(19,15,24,29,40,62)</f>
        <v>31.5</v>
      </c>
      <c r="C2" s="1">
        <f>AVERAGE(50,46,54,47,42,35,28,29,27,34)</f>
        <v>39.200000000000003</v>
      </c>
      <c r="D2" s="1">
        <f>AVERAGE(35,30,25,37,23,21,15,31,23,23,13)</f>
        <v>25.09090909090909</v>
      </c>
      <c r="E2" s="1">
        <f>AVERAGE(9,7,3,6,6,9,11,7)</f>
        <v>7.25</v>
      </c>
      <c r="F2" s="1">
        <f>AVERAGE(6,6,6,5,6,4,5,4,7,11,17,14)</f>
        <v>7.583333333333333</v>
      </c>
      <c r="G2" s="1">
        <f>AVERAGE(13,8,7,7,7,9,8,7,7,6,7)</f>
        <v>7.8181818181818183</v>
      </c>
      <c r="H2" s="1">
        <f>AVERAGE(5,2,5,6,8,9,7,7,7,10,10,11)</f>
        <v>7.25</v>
      </c>
      <c r="I2" s="1">
        <f>AVERAGE(12,13,14,18,15,11,15,15,13,12,12,13)</f>
        <v>13.583333333333334</v>
      </c>
      <c r="J2" s="1">
        <f>AVERAGE(15,12,11,12,15,20,19,13,17,19,19,17)</f>
        <v>15.75</v>
      </c>
      <c r="K2" s="1">
        <f>AVERAGE(19,17,14,14,16,13,14,13,14,17,16,14)</f>
        <v>15.083333333333334</v>
      </c>
      <c r="L2" s="1">
        <f>AVERAGE(14,10,10,12,13,15,11,9,9,6,10,8)</f>
        <v>10.583333333333334</v>
      </c>
      <c r="M2" s="1">
        <f>AVERAGE(8,8,5,5,9,4,7,6,9,10,7,5)</f>
        <v>6.916666666666667</v>
      </c>
      <c r="N2" s="1">
        <f>AVERAGE(10,6,5,6,5,5,4,5,6,10,12,7)</f>
        <v>6.75</v>
      </c>
      <c r="O2" s="1">
        <f>AVERAGE(10,9,6,8,9,6,6,9,10,11,9,9)</f>
        <v>8.5</v>
      </c>
      <c r="P2" s="1">
        <f>AVERAGE(11,10,6,3,5,5,4,5,4,4,3,4)</f>
        <v>5.333333333333333</v>
      </c>
      <c r="Q2" s="1">
        <f>AVERAGE(4,4,4,2,4,3,3,4,4,4,5,4)</f>
        <v>3.75</v>
      </c>
      <c r="R2" s="1">
        <f>AVERAGE(3,5,3,4,3,4,2,3,5,6,10,10)</f>
        <v>4.833333333333333</v>
      </c>
      <c r="S2" s="1">
        <f>AVERAGE(14,10,11,7,7,7,8,10,7,7,7,9)</f>
        <v>8.6666666666666661</v>
      </c>
      <c r="T2" s="1">
        <f>AVERAGE(8,7,6,9,11,9,8,7,6,9,16,24)</f>
        <v>10</v>
      </c>
      <c r="U2" s="1">
        <f>AVERAGE(26,17,23,18,17,17,12,10,13,12,10,10)</f>
        <v>15.416666666666666</v>
      </c>
      <c r="V2" s="1">
        <f>AVERAGE(13,10,11,11,10,10,7,12,11,10,8,8)</f>
        <v>10.083333333333334</v>
      </c>
      <c r="W2" s="1">
        <f>AVERAGE(9,12,9,16,15,18,21,15,13,12,12,14)</f>
        <v>13.833333333333334</v>
      </c>
      <c r="X2" s="1">
        <f>AVERAGE(12,8,11,8,12,11,12,13,12,14,16,15)</f>
        <v>12</v>
      </c>
      <c r="Y2" s="1">
        <f>AVERAGE(14,12,10,8,8,14,13,11,9,7,9,10)</f>
        <v>10.416666666666666</v>
      </c>
      <c r="Z2" s="1">
        <f>AVERAGE(9,7,7,6,6,7,8,7,6,7,7,5)</f>
        <v>6.833333333333333</v>
      </c>
      <c r="AA2" s="1">
        <f>AVERAGE(8,9,11,9,10,12,6,7,14,15,14,13)</f>
        <v>10.666666666666666</v>
      </c>
      <c r="AB2" s="1">
        <f>AVERAGE(11,12,10,10,10,9,9,10,12,10,13,13)</f>
        <v>10.75</v>
      </c>
      <c r="AC2" s="1">
        <f>AVERAGE(16,18,17,18,14,15,17,20,18,19,17,19)</f>
        <v>17.333333333333332</v>
      </c>
      <c r="AD2" s="1">
        <f>AVERAGE(15,19,16,19,21,22,20,23,26,27,22,23)</f>
        <v>21.083333333333332</v>
      </c>
      <c r="AE2" s="1">
        <f>AVERAGE(30,28,25,26,24,25,23,26,27,27,29,24)</f>
        <v>26.166666666666668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0D2D-D12D-134B-ADB1-2C462AE2D01F}">
  <dimension ref="A1:T16"/>
  <sheetViews>
    <sheetView workbookViewId="0">
      <selection activeCell="B61" sqref="B61"/>
    </sheetView>
  </sheetViews>
  <sheetFormatPr baseColWidth="10" defaultRowHeight="16" x14ac:dyDescent="0.2"/>
  <cols>
    <col min="1" max="16384" width="10.83203125" style="1"/>
  </cols>
  <sheetData>
    <row r="1" spans="1:20" x14ac:dyDescent="0.2">
      <c r="B1" s="1">
        <v>1991</v>
      </c>
      <c r="C1" s="1">
        <v>1992</v>
      </c>
      <c r="D1" s="1">
        <v>1993</v>
      </c>
      <c r="E1" s="1">
        <v>1994</v>
      </c>
      <c r="F1" s="1">
        <v>1995</v>
      </c>
      <c r="G1" s="1">
        <v>1996</v>
      </c>
      <c r="H1" s="1">
        <v>1997</v>
      </c>
      <c r="I1" s="1">
        <v>1998</v>
      </c>
      <c r="J1" s="1">
        <v>1999</v>
      </c>
      <c r="K1" s="1">
        <v>2000</v>
      </c>
      <c r="L1" s="1">
        <v>2001</v>
      </c>
      <c r="M1" s="1">
        <v>2002</v>
      </c>
      <c r="N1" s="1">
        <v>2003</v>
      </c>
      <c r="O1" s="1">
        <v>2004</v>
      </c>
      <c r="P1" s="1">
        <v>2005</v>
      </c>
      <c r="Q1" s="1">
        <v>2006</v>
      </c>
      <c r="R1" s="1">
        <v>2007</v>
      </c>
      <c r="S1" s="1">
        <v>2008</v>
      </c>
      <c r="T1" s="1">
        <v>2009</v>
      </c>
    </row>
    <row r="2" spans="1:20" x14ac:dyDescent="0.2">
      <c r="A2" s="1" t="s">
        <v>3</v>
      </c>
      <c r="C2" s="1">
        <v>36</v>
      </c>
      <c r="D2" s="1">
        <v>39</v>
      </c>
      <c r="F2" s="1">
        <v>23</v>
      </c>
      <c r="I2" s="1">
        <v>42</v>
      </c>
      <c r="O2" s="1">
        <v>52</v>
      </c>
    </row>
    <row r="3" spans="1:20" x14ac:dyDescent="0.2">
      <c r="A3" s="1" t="s">
        <v>22</v>
      </c>
      <c r="B3" s="1">
        <v>37</v>
      </c>
      <c r="C3" s="1">
        <v>38</v>
      </c>
      <c r="D3" s="1">
        <v>34</v>
      </c>
      <c r="F3" s="1">
        <v>28</v>
      </c>
      <c r="I3" s="1">
        <v>10</v>
      </c>
      <c r="L3" s="1">
        <v>18</v>
      </c>
      <c r="O3" s="1">
        <v>28</v>
      </c>
    </row>
    <row r="4" spans="1:20" x14ac:dyDescent="0.2">
      <c r="A4" s="1" t="s">
        <v>12</v>
      </c>
      <c r="C4" s="1">
        <v>32</v>
      </c>
      <c r="D4" s="1">
        <v>30</v>
      </c>
      <c r="F4" s="1">
        <v>33</v>
      </c>
      <c r="I4" s="1">
        <v>24</v>
      </c>
      <c r="L4" s="1">
        <v>26</v>
      </c>
    </row>
    <row r="5" spans="1:20" x14ac:dyDescent="0.2">
      <c r="A5" s="1" t="s">
        <v>37</v>
      </c>
      <c r="B5" s="1">
        <v>58</v>
      </c>
      <c r="C5" s="1">
        <v>59</v>
      </c>
      <c r="D5" s="1">
        <v>54</v>
      </c>
      <c r="F5" s="1">
        <v>57</v>
      </c>
      <c r="I5" s="1">
        <v>53</v>
      </c>
      <c r="L5" s="1">
        <v>51</v>
      </c>
      <c r="O5" s="1">
        <v>53</v>
      </c>
    </row>
    <row r="6" spans="1:20" x14ac:dyDescent="0.2">
      <c r="A6" s="1" t="s">
        <v>30</v>
      </c>
      <c r="C6" s="1">
        <v>56</v>
      </c>
    </row>
    <row r="7" spans="1:20" x14ac:dyDescent="0.2">
      <c r="A7" s="1" t="s">
        <v>13</v>
      </c>
      <c r="D7" s="1">
        <f>(29*1000+25*987)/1987</f>
        <v>27.013085052843483</v>
      </c>
      <c r="F7" s="1">
        <f>(41*651+31*645)/(651+645)</f>
        <v>36.023148148148145</v>
      </c>
      <c r="G7" s="1">
        <f>(45*682+36*389)/(682+389)</f>
        <v>41.731092436974791</v>
      </c>
      <c r="I7" s="1">
        <v>41</v>
      </c>
      <c r="K7" s="1">
        <f>(39*650+37*492)/(650+492)</f>
        <v>38.138353765323991</v>
      </c>
      <c r="L7" s="1">
        <f>(45*677+39*331)/(677+331)</f>
        <v>43.029761904761905</v>
      </c>
      <c r="O7" s="1">
        <f>(60*659+46*341)/(659+341)</f>
        <v>55.225999999999999</v>
      </c>
    </row>
    <row r="8" spans="1:20" x14ac:dyDescent="0.2">
      <c r="A8" s="1" t="s">
        <v>9</v>
      </c>
      <c r="B8" s="1">
        <v>23</v>
      </c>
      <c r="C8" s="1">
        <v>20</v>
      </c>
      <c r="D8" s="1">
        <v>19</v>
      </c>
      <c r="F8" s="1">
        <v>21</v>
      </c>
      <c r="I8" s="1">
        <v>25</v>
      </c>
      <c r="O8" s="1">
        <v>22</v>
      </c>
    </row>
    <row r="9" spans="1:20" x14ac:dyDescent="0.2">
      <c r="A9" s="1" t="s">
        <v>20</v>
      </c>
      <c r="D9" s="1">
        <f>(22*1170+19*967)/(1170+967)</f>
        <v>20.642489471221339</v>
      </c>
      <c r="F9" s="1">
        <f>(656*23+517*16)/(656+517)</f>
        <v>19.914748508098892</v>
      </c>
      <c r="G9" s="1">
        <f>(26*551+18*455)/(551+455)</f>
        <v>22.381709741550697</v>
      </c>
      <c r="I9" s="1">
        <v>23</v>
      </c>
      <c r="K9" s="1">
        <f>(35*649+30*381)/(649+381)</f>
        <v>33.150485436893206</v>
      </c>
      <c r="L9" s="1">
        <f>(38*641+33*360)/(641+360)</f>
        <v>36.201798201798205</v>
      </c>
      <c r="O9" s="1">
        <f>(53*62+37*38)/(62+38)</f>
        <v>46.92</v>
      </c>
    </row>
    <row r="10" spans="1:20" x14ac:dyDescent="0.2">
      <c r="A10" s="1" t="s">
        <v>21</v>
      </c>
      <c r="D10" s="1">
        <f>(28*1009+27*1003)/(1009+1003)</f>
        <v>27.501491053677931</v>
      </c>
      <c r="F10" s="1">
        <f>(25*631+25*239)/(631+239)</f>
        <v>25</v>
      </c>
      <c r="G10" s="1">
        <f>(40*703+34*297)/(703+297)</f>
        <v>38.218000000000004</v>
      </c>
      <c r="I10" s="1">
        <v>26</v>
      </c>
      <c r="K10" s="1">
        <f>(40*900+31*212)/(900+212)</f>
        <v>38.284172661870507</v>
      </c>
      <c r="L10" s="1">
        <f>(40*922+34*202)/(922+202)</f>
        <v>38.921708185053383</v>
      </c>
      <c r="O10" s="1">
        <f>(58*891+43*222)/(891+222)</f>
        <v>55.008086253369271</v>
      </c>
    </row>
    <row r="11" spans="1:20" x14ac:dyDescent="0.2">
      <c r="A11" s="1" t="s">
        <v>11</v>
      </c>
      <c r="B11" s="1">
        <v>17</v>
      </c>
      <c r="C11" s="1">
        <v>23</v>
      </c>
      <c r="D11" s="1">
        <v>25</v>
      </c>
      <c r="F11" s="1">
        <v>35</v>
      </c>
      <c r="I11" s="1">
        <v>44</v>
      </c>
      <c r="L11" s="1">
        <v>30</v>
      </c>
      <c r="O11" s="1">
        <v>39</v>
      </c>
    </row>
    <row r="12" spans="1:20" x14ac:dyDescent="0.2">
      <c r="A12" s="1" t="s">
        <v>17</v>
      </c>
      <c r="B12" s="1">
        <v>37</v>
      </c>
      <c r="C12" s="1">
        <v>33</v>
      </c>
      <c r="D12" s="1">
        <v>33</v>
      </c>
      <c r="F12" s="1">
        <v>42</v>
      </c>
      <c r="I12" s="1">
        <v>33</v>
      </c>
      <c r="L12" s="1">
        <v>45</v>
      </c>
      <c r="O12" s="1">
        <v>60</v>
      </c>
    </row>
    <row r="13" spans="1:20" x14ac:dyDescent="0.2">
      <c r="A13" s="1" t="s">
        <v>38</v>
      </c>
      <c r="C13" s="1">
        <v>26</v>
      </c>
      <c r="D13" s="1">
        <v>28</v>
      </c>
      <c r="E13" s="1">
        <v>30</v>
      </c>
      <c r="F13" s="1">
        <v>22</v>
      </c>
      <c r="G13" s="1">
        <v>19.5</v>
      </c>
      <c r="I13" s="1">
        <v>27</v>
      </c>
      <c r="K13" s="1">
        <v>23.5</v>
      </c>
      <c r="L13" s="1">
        <v>16</v>
      </c>
      <c r="N13" s="1">
        <v>23</v>
      </c>
      <c r="O13" s="1">
        <v>27</v>
      </c>
      <c r="P13" s="1">
        <v>20</v>
      </c>
      <c r="T13" s="1">
        <v>27</v>
      </c>
    </row>
    <row r="14" spans="1:20" x14ac:dyDescent="0.2">
      <c r="A14" s="1" t="s">
        <v>4</v>
      </c>
      <c r="B14" s="1">
        <v>46</v>
      </c>
      <c r="C14" s="1">
        <v>47</v>
      </c>
      <c r="D14" s="1">
        <v>39</v>
      </c>
      <c r="F14" s="1">
        <v>35</v>
      </c>
      <c r="I14" s="1">
        <v>40</v>
      </c>
      <c r="L14" s="1">
        <v>27</v>
      </c>
      <c r="O14" s="1">
        <v>36</v>
      </c>
    </row>
    <row r="15" spans="1:20" x14ac:dyDescent="0.2">
      <c r="A15" s="1" t="s">
        <v>6</v>
      </c>
      <c r="B15" s="1">
        <v>28</v>
      </c>
      <c r="C15" s="1">
        <v>45</v>
      </c>
      <c r="D15" s="1">
        <v>48</v>
      </c>
      <c r="F15" s="1">
        <v>42</v>
      </c>
      <c r="I15" s="1">
        <v>53</v>
      </c>
      <c r="L15" s="1">
        <v>62</v>
      </c>
      <c r="O15" s="1">
        <v>65</v>
      </c>
    </row>
    <row r="16" spans="1:20" x14ac:dyDescent="0.2">
      <c r="A16" s="1" t="s">
        <v>8</v>
      </c>
      <c r="C16" s="1">
        <v>30</v>
      </c>
      <c r="D16" s="1">
        <v>24</v>
      </c>
      <c r="F16" s="1">
        <v>9</v>
      </c>
      <c r="I16" s="1">
        <v>15</v>
      </c>
      <c r="O16" s="1">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5BC8-52C8-E641-99BA-7D5E147CEAE2}">
  <dimension ref="A1:AJ33"/>
  <sheetViews>
    <sheetView workbookViewId="0">
      <selection activeCell="B61" sqref="B61"/>
    </sheetView>
  </sheetViews>
  <sheetFormatPr baseColWidth="10" defaultRowHeight="16" x14ac:dyDescent="0.2"/>
  <cols>
    <col min="1" max="16384" width="10.83203125" style="1"/>
  </cols>
  <sheetData>
    <row r="1" spans="1:36" x14ac:dyDescent="0.2">
      <c r="B1" s="1">
        <v>1985</v>
      </c>
      <c r="C1" s="1">
        <v>1986</v>
      </c>
      <c r="D1" s="1">
        <v>1987</v>
      </c>
      <c r="E1" s="1">
        <v>1988</v>
      </c>
      <c r="F1" s="1">
        <v>1989</v>
      </c>
      <c r="G1" s="1">
        <v>1990</v>
      </c>
      <c r="H1" s="1">
        <v>1991</v>
      </c>
      <c r="I1" s="1">
        <v>1992</v>
      </c>
      <c r="J1" s="1">
        <v>1993</v>
      </c>
      <c r="K1" s="1">
        <v>1994</v>
      </c>
      <c r="L1" s="1">
        <v>1995</v>
      </c>
      <c r="M1" s="1">
        <v>1996</v>
      </c>
      <c r="N1" s="1">
        <v>1997</v>
      </c>
      <c r="O1" s="1">
        <v>1998</v>
      </c>
      <c r="P1" s="1">
        <v>1999</v>
      </c>
      <c r="Q1" s="1">
        <v>2000</v>
      </c>
      <c r="R1" s="1">
        <v>2001</v>
      </c>
      <c r="S1" s="1">
        <v>2002</v>
      </c>
      <c r="T1" s="1">
        <v>2003</v>
      </c>
      <c r="U1" s="1">
        <v>2004</v>
      </c>
      <c r="V1" s="1">
        <v>2005</v>
      </c>
      <c r="W1" s="1">
        <v>2006</v>
      </c>
      <c r="X1" s="1">
        <v>2007</v>
      </c>
      <c r="Y1" s="1">
        <v>2008</v>
      </c>
      <c r="Z1" s="1">
        <v>2009</v>
      </c>
      <c r="AA1" s="1">
        <v>2010</v>
      </c>
      <c r="AB1" s="1">
        <v>2011</v>
      </c>
      <c r="AC1" s="1">
        <v>2012</v>
      </c>
      <c r="AD1" s="1">
        <v>2013</v>
      </c>
      <c r="AE1" s="1">
        <v>2014</v>
      </c>
      <c r="AF1" s="1">
        <v>2015</v>
      </c>
      <c r="AG1" s="1">
        <v>2016</v>
      </c>
      <c r="AH1" s="1">
        <v>2017</v>
      </c>
      <c r="AI1" s="1">
        <v>2018</v>
      </c>
      <c r="AJ1" s="1">
        <v>2019</v>
      </c>
    </row>
    <row r="2" spans="1:36" x14ac:dyDescent="0.2">
      <c r="A2" s="1" t="s">
        <v>27</v>
      </c>
      <c r="M2" s="1">
        <v>46</v>
      </c>
      <c r="N2" s="1">
        <v>46</v>
      </c>
      <c r="O2" s="1">
        <v>46.1</v>
      </c>
      <c r="P2" s="1">
        <v>46.2</v>
      </c>
      <c r="Q2" s="1">
        <v>46.3</v>
      </c>
      <c r="R2" s="1">
        <v>46.4</v>
      </c>
      <c r="S2" s="1">
        <v>46.5</v>
      </c>
      <c r="T2" s="1">
        <v>46.6</v>
      </c>
      <c r="U2" s="1">
        <v>46.7</v>
      </c>
      <c r="V2" s="1">
        <v>46.8</v>
      </c>
      <c r="W2" s="1">
        <v>46.9</v>
      </c>
      <c r="X2" s="1">
        <v>47</v>
      </c>
      <c r="Y2" s="1">
        <v>47.1</v>
      </c>
      <c r="Z2" s="1">
        <v>47.1</v>
      </c>
      <c r="AA2" s="1">
        <v>47.1</v>
      </c>
      <c r="AB2" s="1">
        <v>47.2</v>
      </c>
      <c r="AC2" s="1">
        <v>47.2</v>
      </c>
      <c r="AD2" s="1">
        <v>47.2</v>
      </c>
      <c r="AE2" s="1">
        <v>47.3</v>
      </c>
      <c r="AF2" s="1">
        <v>47.3</v>
      </c>
      <c r="AG2" s="1">
        <v>47.3</v>
      </c>
      <c r="AH2" s="1">
        <v>47.3</v>
      </c>
    </row>
    <row r="3" spans="1:36" x14ac:dyDescent="0.2">
      <c r="A3" s="1" t="s">
        <v>23</v>
      </c>
      <c r="E3" s="1">
        <v>46.8</v>
      </c>
      <c r="F3" s="1">
        <v>46.9</v>
      </c>
      <c r="G3" s="1">
        <v>47.3</v>
      </c>
      <c r="H3" s="1">
        <v>47.8</v>
      </c>
      <c r="I3" s="1">
        <v>48.3</v>
      </c>
      <c r="J3" s="1">
        <v>48.9</v>
      </c>
      <c r="K3" s="1">
        <v>49.3</v>
      </c>
      <c r="L3" s="1">
        <v>49.8</v>
      </c>
      <c r="M3" s="1">
        <v>50.3</v>
      </c>
      <c r="N3" s="1">
        <v>50.5</v>
      </c>
      <c r="O3" s="1">
        <v>50.7</v>
      </c>
      <c r="P3" s="1">
        <v>50.8</v>
      </c>
      <c r="Q3" s="1">
        <v>50.6</v>
      </c>
      <c r="R3" s="1">
        <v>50.4</v>
      </c>
      <c r="S3" s="1">
        <v>50.2</v>
      </c>
      <c r="T3" s="1">
        <v>50</v>
      </c>
      <c r="U3" s="1">
        <v>49.7</v>
      </c>
      <c r="V3" s="1">
        <v>49.3</v>
      </c>
      <c r="W3" s="1">
        <v>48.9</v>
      </c>
      <c r="X3" s="1">
        <v>48.6</v>
      </c>
      <c r="Y3" s="1">
        <v>48.2</v>
      </c>
      <c r="Z3" s="1">
        <v>48</v>
      </c>
      <c r="AA3" s="1">
        <v>47.9</v>
      </c>
      <c r="AB3" s="1">
        <v>47.8</v>
      </c>
      <c r="AC3" s="1">
        <v>48</v>
      </c>
      <c r="AD3" s="1">
        <v>48.1</v>
      </c>
      <c r="AE3" s="1">
        <v>48.3</v>
      </c>
      <c r="AF3" s="1">
        <v>48.5</v>
      </c>
      <c r="AG3" s="1">
        <v>48.7</v>
      </c>
      <c r="AH3" s="1">
        <v>48.8</v>
      </c>
      <c r="AI3" s="1">
        <v>48.8</v>
      </c>
    </row>
    <row r="4" spans="1:36" x14ac:dyDescent="0.2">
      <c r="A4" s="1" t="s">
        <v>29</v>
      </c>
      <c r="E4" s="1">
        <v>39.200000000000003</v>
      </c>
      <c r="F4" s="1">
        <v>39.299999999999997</v>
      </c>
      <c r="G4" s="1">
        <v>39.4</v>
      </c>
      <c r="H4" s="1">
        <v>39.5</v>
      </c>
      <c r="I4" s="1">
        <v>39.700000000000003</v>
      </c>
      <c r="J4" s="1">
        <v>39.799999999999997</v>
      </c>
      <c r="K4" s="1">
        <v>39.9</v>
      </c>
      <c r="L4" s="1">
        <v>39.9</v>
      </c>
      <c r="M4" s="1">
        <v>39.700000000000003</v>
      </c>
      <c r="N4" s="1">
        <v>39.6</v>
      </c>
      <c r="O4" s="1">
        <v>39.5</v>
      </c>
      <c r="P4" s="1">
        <v>39.4</v>
      </c>
      <c r="Q4" s="1">
        <v>39.299999999999997</v>
      </c>
      <c r="R4" s="1">
        <v>39.200000000000003</v>
      </c>
      <c r="S4" s="1">
        <v>38.799999999999997</v>
      </c>
      <c r="T4" s="1">
        <v>38.5</v>
      </c>
      <c r="U4" s="1">
        <v>38.299999999999997</v>
      </c>
      <c r="V4" s="1">
        <v>38.200000000000003</v>
      </c>
      <c r="W4" s="1">
        <v>38.200000000000003</v>
      </c>
      <c r="X4" s="1">
        <v>38.200000000000003</v>
      </c>
      <c r="Y4" s="1">
        <v>38.299999999999997</v>
      </c>
    </row>
    <row r="5" spans="1:36" x14ac:dyDescent="0.2">
      <c r="A5" s="1" t="s">
        <v>3</v>
      </c>
      <c r="E5" s="1">
        <v>30.6</v>
      </c>
      <c r="F5" s="1">
        <v>30.6</v>
      </c>
      <c r="G5" s="1">
        <v>30.7</v>
      </c>
      <c r="H5" s="1">
        <v>30.8</v>
      </c>
      <c r="I5" s="1">
        <v>31</v>
      </c>
      <c r="J5" s="1">
        <v>31.1</v>
      </c>
      <c r="K5" s="1">
        <v>31.4</v>
      </c>
      <c r="L5" s="1">
        <v>31.7</v>
      </c>
      <c r="M5" s="1">
        <v>31.9</v>
      </c>
      <c r="N5" s="1">
        <v>32.1</v>
      </c>
      <c r="O5" s="1">
        <v>32.4</v>
      </c>
      <c r="P5" s="1">
        <v>32.6</v>
      </c>
      <c r="Q5" s="1">
        <v>32.700000000000003</v>
      </c>
      <c r="R5" s="1">
        <v>32.700000000000003</v>
      </c>
      <c r="S5" s="1">
        <v>32.700000000000003</v>
      </c>
      <c r="T5" s="1">
        <v>32.6</v>
      </c>
      <c r="U5" s="1">
        <v>32.6</v>
      </c>
      <c r="V5" s="1">
        <v>32.5</v>
      </c>
      <c r="W5" s="1">
        <v>32.6</v>
      </c>
      <c r="X5" s="1">
        <v>32.6</v>
      </c>
      <c r="Y5" s="1">
        <v>32.6</v>
      </c>
      <c r="Z5" s="1">
        <v>32.6</v>
      </c>
      <c r="AA5" s="1">
        <v>32.6</v>
      </c>
      <c r="AB5" s="1">
        <v>32.6</v>
      </c>
      <c r="AC5" s="1">
        <v>32.6</v>
      </c>
      <c r="AD5" s="1">
        <v>32.4</v>
      </c>
      <c r="AE5" s="1">
        <v>32.299999999999997</v>
      </c>
      <c r="AF5" s="1">
        <v>32.200000000000003</v>
      </c>
      <c r="AG5" s="1">
        <v>32.1</v>
      </c>
      <c r="AH5" s="1">
        <v>32.1</v>
      </c>
      <c r="AI5" s="1">
        <v>32</v>
      </c>
    </row>
    <row r="6" spans="1:36" x14ac:dyDescent="0.2">
      <c r="A6" s="1" t="s">
        <v>25</v>
      </c>
      <c r="R6" s="1">
        <v>47.3</v>
      </c>
      <c r="S6" s="1">
        <v>47.4</v>
      </c>
      <c r="T6" s="1">
        <v>47.5</v>
      </c>
      <c r="U6" s="1">
        <v>47.7</v>
      </c>
      <c r="V6" s="1">
        <v>47.7</v>
      </c>
      <c r="W6" s="1">
        <v>47.7</v>
      </c>
      <c r="X6" s="1">
        <v>47.7</v>
      </c>
      <c r="Y6" s="1">
        <v>47.7</v>
      </c>
      <c r="Z6" s="1">
        <v>47.8</v>
      </c>
      <c r="AA6" s="1">
        <v>47.7</v>
      </c>
      <c r="AB6" s="1">
        <v>47.8</v>
      </c>
      <c r="AC6" s="1">
        <v>47.8</v>
      </c>
      <c r="AD6" s="1">
        <v>47.8</v>
      </c>
      <c r="AE6" s="1">
        <v>47.8</v>
      </c>
      <c r="AF6" s="1">
        <v>47.8</v>
      </c>
    </row>
    <row r="7" spans="1:36" x14ac:dyDescent="0.2">
      <c r="A7" s="1" t="s">
        <v>22</v>
      </c>
      <c r="F7" s="1">
        <v>41.4</v>
      </c>
      <c r="G7" s="1">
        <v>41.5</v>
      </c>
      <c r="H7" s="1">
        <v>41.7</v>
      </c>
      <c r="I7" s="1">
        <v>41.8</v>
      </c>
      <c r="J7" s="1">
        <v>42.1</v>
      </c>
      <c r="K7" s="1">
        <v>42.4</v>
      </c>
      <c r="L7" s="1">
        <v>42.6</v>
      </c>
      <c r="M7" s="1">
        <v>42.7</v>
      </c>
      <c r="N7" s="1">
        <v>42.9</v>
      </c>
      <c r="O7" s="1">
        <v>43</v>
      </c>
      <c r="P7" s="1">
        <v>43.2</v>
      </c>
      <c r="Q7" s="1">
        <v>43.4</v>
      </c>
      <c r="R7" s="1">
        <v>43.6</v>
      </c>
      <c r="S7" s="1">
        <v>43.7</v>
      </c>
      <c r="T7" s="1">
        <v>44</v>
      </c>
      <c r="U7" s="1">
        <v>44.1</v>
      </c>
      <c r="V7" s="1">
        <v>44.3</v>
      </c>
      <c r="W7" s="1">
        <v>44.5</v>
      </c>
      <c r="X7" s="1">
        <v>44.7</v>
      </c>
      <c r="Y7" s="1">
        <v>44.8</v>
      </c>
      <c r="Z7" s="1">
        <v>45.1</v>
      </c>
      <c r="AA7" s="1">
        <v>45.3</v>
      </c>
      <c r="AB7" s="1">
        <v>45.6</v>
      </c>
      <c r="AC7" s="1">
        <v>45.9</v>
      </c>
      <c r="AD7" s="1">
        <v>46.2</v>
      </c>
      <c r="AE7" s="1">
        <v>46.5</v>
      </c>
      <c r="AF7" s="1">
        <v>46.8</v>
      </c>
      <c r="AG7" s="1">
        <v>47</v>
      </c>
      <c r="AH7" s="1">
        <v>47.1</v>
      </c>
      <c r="AI7" s="1">
        <v>47.2</v>
      </c>
    </row>
    <row r="8" spans="1:36" x14ac:dyDescent="0.2">
      <c r="A8" s="1" t="s">
        <v>12</v>
      </c>
      <c r="E8" s="1">
        <v>42.7</v>
      </c>
      <c r="F8" s="1">
        <v>42.9</v>
      </c>
      <c r="G8" s="1">
        <v>42.9</v>
      </c>
      <c r="H8" s="1">
        <v>43</v>
      </c>
      <c r="I8" s="1">
        <v>43.1</v>
      </c>
      <c r="J8" s="1">
        <v>43.1</v>
      </c>
      <c r="K8" s="1">
        <v>43.1</v>
      </c>
      <c r="L8" s="1">
        <v>43.2</v>
      </c>
      <c r="M8" s="1">
        <v>43.2</v>
      </c>
      <c r="N8" s="1">
        <v>43.3</v>
      </c>
      <c r="O8" s="1">
        <v>43.4</v>
      </c>
      <c r="P8" s="1">
        <v>43.4</v>
      </c>
      <c r="Q8" s="1">
        <v>43.4</v>
      </c>
      <c r="R8" s="1">
        <v>43.5</v>
      </c>
      <c r="S8" s="1">
        <v>43.5</v>
      </c>
      <c r="T8" s="1">
        <v>43.5</v>
      </c>
      <c r="U8" s="1">
        <v>43.6</v>
      </c>
      <c r="V8" s="1">
        <v>43.7</v>
      </c>
      <c r="W8" s="1">
        <v>43.9</v>
      </c>
      <c r="X8" s="1">
        <v>44.1</v>
      </c>
      <c r="Y8" s="1">
        <v>44.3</v>
      </c>
      <c r="Z8" s="1">
        <v>44.5</v>
      </c>
      <c r="AA8" s="1">
        <v>44.7</v>
      </c>
      <c r="AB8" s="1">
        <v>44.9</v>
      </c>
      <c r="AC8" s="1">
        <v>45.1</v>
      </c>
      <c r="AD8" s="1">
        <v>45.2</v>
      </c>
      <c r="AE8" s="1">
        <v>45.3</v>
      </c>
      <c r="AF8" s="1">
        <v>45.3</v>
      </c>
      <c r="AG8" s="1">
        <v>45.3</v>
      </c>
      <c r="AH8" s="1">
        <v>45.3</v>
      </c>
    </row>
    <row r="9" spans="1:36" x14ac:dyDescent="0.2">
      <c r="A9" s="1" t="s">
        <v>5</v>
      </c>
      <c r="E9" s="1">
        <v>37</v>
      </c>
      <c r="F9" s="1">
        <v>37.1</v>
      </c>
      <c r="G9" s="1">
        <v>37.799999999999997</v>
      </c>
      <c r="H9" s="1">
        <v>38.6</v>
      </c>
      <c r="I9" s="1">
        <v>39.5</v>
      </c>
      <c r="J9" s="1">
        <v>40.299999999999997</v>
      </c>
      <c r="K9" s="1">
        <v>41.2</v>
      </c>
      <c r="L9" s="1">
        <v>41.9</v>
      </c>
      <c r="M9" s="1">
        <v>42.7</v>
      </c>
      <c r="N9" s="1">
        <v>43</v>
      </c>
      <c r="O9" s="1">
        <v>43.2</v>
      </c>
      <c r="P9" s="1">
        <v>43.7</v>
      </c>
      <c r="Q9" s="1">
        <v>44.2</v>
      </c>
      <c r="R9" s="1">
        <v>44.8</v>
      </c>
      <c r="S9" s="1">
        <v>45.3</v>
      </c>
      <c r="T9" s="1">
        <v>45.5</v>
      </c>
      <c r="U9" s="1">
        <v>45.6</v>
      </c>
      <c r="V9" s="1">
        <v>45.4</v>
      </c>
      <c r="W9" s="1">
        <v>45.2</v>
      </c>
      <c r="X9" s="1">
        <v>44.9</v>
      </c>
      <c r="Y9" s="1">
        <v>44.6</v>
      </c>
      <c r="Z9" s="1">
        <v>44.5</v>
      </c>
      <c r="AA9" s="1">
        <v>44.6</v>
      </c>
      <c r="AB9" s="1">
        <v>44.6</v>
      </c>
      <c r="AC9" s="1">
        <v>44.5</v>
      </c>
      <c r="AD9" s="1">
        <v>44.8</v>
      </c>
      <c r="AE9" s="1">
        <v>44.5</v>
      </c>
      <c r="AF9" s="1">
        <v>44.3</v>
      </c>
      <c r="AG9" s="1">
        <v>44</v>
      </c>
      <c r="AH9" s="1">
        <v>43.6</v>
      </c>
    </row>
    <row r="10" spans="1:36" x14ac:dyDescent="0.2">
      <c r="A10" s="1" t="s">
        <v>30</v>
      </c>
      <c r="B10" s="1">
        <v>34.200000000000003</v>
      </c>
      <c r="C10" s="1">
        <v>34.200000000000003</v>
      </c>
      <c r="D10" s="1">
        <v>34.200000000000003</v>
      </c>
      <c r="E10" s="1">
        <v>34.200000000000003</v>
      </c>
      <c r="F10" s="1">
        <v>34.200000000000003</v>
      </c>
    </row>
    <row r="11" spans="1:36" x14ac:dyDescent="0.2">
      <c r="A11" s="1" t="s">
        <v>13</v>
      </c>
      <c r="E11" s="1">
        <v>44.1</v>
      </c>
      <c r="F11" s="1">
        <v>44.5</v>
      </c>
      <c r="G11" s="1">
        <v>45.1</v>
      </c>
      <c r="H11" s="1">
        <v>45.9</v>
      </c>
      <c r="I11" s="1">
        <v>46.7</v>
      </c>
      <c r="J11" s="1">
        <v>47.4</v>
      </c>
      <c r="K11" s="1">
        <v>47.8</v>
      </c>
      <c r="L11" s="1">
        <v>48</v>
      </c>
      <c r="M11" s="1">
        <v>48.3</v>
      </c>
      <c r="N11" s="1">
        <v>48.6</v>
      </c>
      <c r="O11" s="1">
        <v>48.8</v>
      </c>
      <c r="P11" s="1">
        <v>48.9</v>
      </c>
      <c r="Q11" s="1">
        <v>48.8</v>
      </c>
      <c r="R11" s="1">
        <v>48.9</v>
      </c>
      <c r="S11" s="1">
        <v>48.8</v>
      </c>
      <c r="T11" s="1">
        <v>48.9</v>
      </c>
      <c r="U11" s="1">
        <v>48.7</v>
      </c>
      <c r="V11" s="1">
        <v>48.2</v>
      </c>
      <c r="W11" s="1">
        <v>47.6</v>
      </c>
      <c r="X11" s="1">
        <v>46.8</v>
      </c>
      <c r="Y11" s="1">
        <v>46.7</v>
      </c>
      <c r="Z11" s="1">
        <v>46.9</v>
      </c>
      <c r="AA11" s="1">
        <v>47.4</v>
      </c>
      <c r="AB11" s="1">
        <v>47.6</v>
      </c>
      <c r="AC11" s="1">
        <v>47.9</v>
      </c>
      <c r="AD11" s="1">
        <v>48.3</v>
      </c>
      <c r="AE11" s="1">
        <v>47.9</v>
      </c>
      <c r="AF11" s="1">
        <v>47.3</v>
      </c>
      <c r="AG11" s="1">
        <v>46.7</v>
      </c>
      <c r="AH11" s="1">
        <v>46.3</v>
      </c>
    </row>
    <row r="12" spans="1:36" x14ac:dyDescent="0.2">
      <c r="A12" s="1" t="s">
        <v>26</v>
      </c>
      <c r="E12" s="1">
        <v>42.2</v>
      </c>
      <c r="F12" s="1">
        <v>42.4</v>
      </c>
      <c r="G12" s="1">
        <v>42.8</v>
      </c>
      <c r="H12" s="1">
        <v>43.4</v>
      </c>
      <c r="I12" s="1">
        <v>43.9</v>
      </c>
      <c r="J12" s="1">
        <v>44.5</v>
      </c>
      <c r="K12" s="1">
        <v>45.1</v>
      </c>
      <c r="L12" s="1">
        <v>45.6</v>
      </c>
      <c r="M12" s="1">
        <v>46.2</v>
      </c>
      <c r="N12" s="1">
        <v>46.8</v>
      </c>
      <c r="O12" s="1">
        <v>47.3</v>
      </c>
      <c r="P12" s="1">
        <v>47.6</v>
      </c>
      <c r="Q12" s="1">
        <v>47.8</v>
      </c>
      <c r="R12" s="1">
        <v>48</v>
      </c>
      <c r="S12" s="1">
        <v>48.1</v>
      </c>
      <c r="T12" s="1">
        <v>48.2</v>
      </c>
      <c r="U12" s="1">
        <v>48.4</v>
      </c>
      <c r="V12" s="1">
        <v>48.7</v>
      </c>
      <c r="W12" s="1">
        <v>49</v>
      </c>
      <c r="X12" s="1">
        <v>49.4</v>
      </c>
      <c r="Y12" s="1">
        <v>49.8</v>
      </c>
      <c r="Z12" s="1">
        <v>50.2</v>
      </c>
      <c r="AA12" s="1">
        <v>50.5</v>
      </c>
      <c r="AB12" s="1">
        <v>50.1</v>
      </c>
      <c r="AC12" s="1">
        <v>49.6</v>
      </c>
      <c r="AD12" s="1">
        <v>49.1</v>
      </c>
      <c r="AE12" s="1">
        <v>48.9</v>
      </c>
      <c r="AF12" s="1">
        <v>48.7</v>
      </c>
      <c r="AG12" s="1">
        <v>48.5</v>
      </c>
      <c r="AH12" s="1">
        <v>48.5</v>
      </c>
      <c r="AI12" s="1">
        <v>48.4</v>
      </c>
    </row>
    <row r="13" spans="1:36" x14ac:dyDescent="0.2">
      <c r="A13" s="1" t="s">
        <v>9</v>
      </c>
      <c r="B13" s="1">
        <v>41.1</v>
      </c>
      <c r="C13" s="1">
        <v>41.2</v>
      </c>
      <c r="D13" s="1">
        <v>41.3</v>
      </c>
      <c r="E13" s="1">
        <v>42</v>
      </c>
      <c r="F13" s="1">
        <v>42.7</v>
      </c>
      <c r="G13" s="1">
        <v>44.2</v>
      </c>
      <c r="H13" s="1">
        <v>45.6</v>
      </c>
      <c r="I13" s="1">
        <v>46.8</v>
      </c>
      <c r="J13" s="1">
        <v>47.7</v>
      </c>
      <c r="K13" s="1">
        <v>48.8</v>
      </c>
      <c r="L13" s="1">
        <v>49.1</v>
      </c>
      <c r="M13" s="1">
        <v>49.4</v>
      </c>
      <c r="N13" s="1">
        <v>49.4</v>
      </c>
      <c r="O13" s="1">
        <v>49.5</v>
      </c>
      <c r="P13" s="1">
        <v>49.8</v>
      </c>
      <c r="Q13" s="1">
        <v>49.8</v>
      </c>
      <c r="R13" s="1">
        <v>49.9</v>
      </c>
      <c r="S13" s="1">
        <v>50.1</v>
      </c>
      <c r="T13" s="1">
        <v>50.5</v>
      </c>
      <c r="U13" s="1">
        <v>50.6</v>
      </c>
      <c r="V13" s="1">
        <v>50.5</v>
      </c>
      <c r="W13" s="1">
        <v>50.2</v>
      </c>
      <c r="X13" s="1">
        <v>50</v>
      </c>
      <c r="Y13" s="1">
        <v>49.8</v>
      </c>
      <c r="Z13" s="1">
        <v>50.3</v>
      </c>
      <c r="AA13" s="1">
        <v>50.4</v>
      </c>
      <c r="AB13" s="1">
        <v>50.7</v>
      </c>
      <c r="AC13" s="1">
        <v>51.1</v>
      </c>
      <c r="AD13" s="1">
        <v>51.3</v>
      </c>
      <c r="AE13" s="1">
        <v>51.1</v>
      </c>
      <c r="AF13" s="1">
        <v>50.8</v>
      </c>
      <c r="AG13" s="1">
        <v>51</v>
      </c>
      <c r="AH13" s="1">
        <v>51.2</v>
      </c>
      <c r="AI13" s="1">
        <v>51.2</v>
      </c>
    </row>
    <row r="14" spans="1:36" x14ac:dyDescent="0.2">
      <c r="A14" s="1" t="s">
        <v>7</v>
      </c>
      <c r="E14" s="1">
        <v>35.9</v>
      </c>
      <c r="F14" s="1">
        <v>36.1</v>
      </c>
      <c r="G14" s="1">
        <v>36.200000000000003</v>
      </c>
      <c r="H14" s="1">
        <v>36.4</v>
      </c>
      <c r="I14" s="1">
        <v>36.700000000000003</v>
      </c>
      <c r="J14" s="1">
        <v>36.9</v>
      </c>
      <c r="K14" s="1">
        <v>37.1</v>
      </c>
      <c r="L14" s="1">
        <v>37.299999999999997</v>
      </c>
      <c r="M14" s="1">
        <v>37.5</v>
      </c>
      <c r="N14" s="1">
        <v>37.6</v>
      </c>
      <c r="O14" s="1">
        <v>37.6</v>
      </c>
      <c r="P14" s="1">
        <v>37.700000000000003</v>
      </c>
      <c r="Q14" s="1">
        <v>37.700000000000003</v>
      </c>
      <c r="R14" s="1">
        <v>37.799999999999997</v>
      </c>
      <c r="S14" s="1">
        <v>37.6</v>
      </c>
      <c r="T14" s="1">
        <v>37.4</v>
      </c>
      <c r="U14" s="1">
        <v>37.1</v>
      </c>
      <c r="V14" s="1">
        <v>36.9</v>
      </c>
      <c r="W14" s="1">
        <v>36.4</v>
      </c>
      <c r="X14" s="1">
        <v>36</v>
      </c>
      <c r="Y14" s="1">
        <v>35.5</v>
      </c>
      <c r="Z14" s="1">
        <v>35.1</v>
      </c>
      <c r="AA14" s="1">
        <v>34.799999999999997</v>
      </c>
      <c r="AB14" s="1">
        <v>34.6</v>
      </c>
      <c r="AC14" s="1">
        <v>34.4</v>
      </c>
      <c r="AD14" s="1">
        <v>34.200000000000003</v>
      </c>
      <c r="AE14" s="1">
        <v>34</v>
      </c>
      <c r="AF14" s="1">
        <v>33.9</v>
      </c>
      <c r="AG14" s="1">
        <v>33.9</v>
      </c>
      <c r="AH14" s="1">
        <v>33.9</v>
      </c>
      <c r="AI14" s="1">
        <v>33.9</v>
      </c>
      <c r="AJ14" s="1">
        <v>33.9</v>
      </c>
    </row>
    <row r="15" spans="1:36" x14ac:dyDescent="0.2">
      <c r="A15" s="1" t="s">
        <v>10</v>
      </c>
      <c r="T15" s="1">
        <v>42.5</v>
      </c>
      <c r="U15" s="1">
        <v>42.5</v>
      </c>
      <c r="V15" s="1">
        <v>42.6</v>
      </c>
      <c r="W15" s="1">
        <v>42.6</v>
      </c>
      <c r="X15" s="1">
        <v>42.6</v>
      </c>
      <c r="Y15" s="1">
        <v>42.7</v>
      </c>
      <c r="Z15" s="1">
        <v>42.7</v>
      </c>
      <c r="AA15" s="1">
        <v>42.7</v>
      </c>
      <c r="AB15" s="1">
        <v>42.7</v>
      </c>
      <c r="AC15" s="1">
        <v>42.7</v>
      </c>
      <c r="AD15" s="1">
        <v>42.7</v>
      </c>
      <c r="AE15" s="1">
        <v>42.8</v>
      </c>
      <c r="AF15" s="1">
        <v>42.7</v>
      </c>
      <c r="AG15" s="1">
        <v>42.7</v>
      </c>
      <c r="AH15" s="1">
        <v>42.7</v>
      </c>
    </row>
    <row r="16" spans="1:36" x14ac:dyDescent="0.2">
      <c r="A16" s="1" t="s">
        <v>14</v>
      </c>
      <c r="E16" s="1">
        <v>40.9</v>
      </c>
      <c r="F16" s="1">
        <v>41</v>
      </c>
      <c r="G16" s="1">
        <v>41.3</v>
      </c>
      <c r="H16" s="1">
        <v>41.7</v>
      </c>
      <c r="I16" s="1">
        <v>42.2</v>
      </c>
      <c r="J16" s="1">
        <v>43</v>
      </c>
      <c r="K16" s="1">
        <v>43.7</v>
      </c>
      <c r="L16" s="1">
        <v>44.2</v>
      </c>
      <c r="M16" s="1">
        <v>44.6</v>
      </c>
      <c r="N16" s="1">
        <v>44.8</v>
      </c>
      <c r="O16" s="1">
        <v>44.7</v>
      </c>
      <c r="P16" s="1">
        <v>44.3</v>
      </c>
      <c r="Q16" s="1">
        <v>43.8</v>
      </c>
      <c r="R16" s="1">
        <v>43.3</v>
      </c>
      <c r="S16" s="1">
        <v>42.9</v>
      </c>
      <c r="T16" s="1">
        <v>42.8</v>
      </c>
      <c r="U16" s="1">
        <v>43</v>
      </c>
      <c r="V16" s="1">
        <v>43.1</v>
      </c>
      <c r="W16" s="1">
        <v>43</v>
      </c>
      <c r="X16" s="1">
        <v>42.7</v>
      </c>
      <c r="Y16" s="1">
        <v>42.3</v>
      </c>
      <c r="Z16" s="1">
        <v>41.9</v>
      </c>
      <c r="AA16" s="1">
        <v>41.5</v>
      </c>
      <c r="AB16" s="1">
        <v>41.2</v>
      </c>
      <c r="AC16" s="1">
        <v>41</v>
      </c>
      <c r="AD16" s="1">
        <v>40.9</v>
      </c>
      <c r="AE16" s="1">
        <v>40.700000000000003</v>
      </c>
      <c r="AF16" s="1">
        <v>40.5</v>
      </c>
      <c r="AG16" s="1">
        <v>40.299999999999997</v>
      </c>
      <c r="AH16" s="1">
        <v>40.200000000000003</v>
      </c>
      <c r="AI16" s="1">
        <v>40.1</v>
      </c>
    </row>
    <row r="17" spans="1:35" x14ac:dyDescent="0.2">
      <c r="A17" s="1" t="s">
        <v>20</v>
      </c>
      <c r="E17" s="1">
        <v>41.6</v>
      </c>
      <c r="F17" s="1">
        <v>41.7</v>
      </c>
      <c r="G17" s="1">
        <v>41.9</v>
      </c>
      <c r="H17" s="1">
        <v>42.2</v>
      </c>
      <c r="I17" s="1">
        <v>42.4</v>
      </c>
      <c r="J17" s="1">
        <v>42.7</v>
      </c>
      <c r="K17" s="1">
        <v>43.1</v>
      </c>
      <c r="L17" s="1">
        <v>43.5</v>
      </c>
      <c r="M17" s="1">
        <v>44</v>
      </c>
      <c r="N17" s="1">
        <v>44.4</v>
      </c>
      <c r="O17" s="1">
        <v>44.8</v>
      </c>
      <c r="P17" s="1">
        <v>45.2</v>
      </c>
      <c r="Q17" s="1">
        <v>45.6</v>
      </c>
      <c r="R17" s="1">
        <v>46</v>
      </c>
      <c r="S17" s="1">
        <v>46.4</v>
      </c>
      <c r="T17" s="1">
        <v>46.8</v>
      </c>
      <c r="U17" s="1">
        <v>47</v>
      </c>
      <c r="V17" s="1">
        <v>47.3</v>
      </c>
      <c r="W17" s="1">
        <v>47.4</v>
      </c>
      <c r="X17" s="1">
        <v>47.6</v>
      </c>
      <c r="Y17" s="1">
        <v>47.7</v>
      </c>
      <c r="Z17" s="1">
        <v>47.7</v>
      </c>
      <c r="AA17" s="1">
        <v>47.7</v>
      </c>
      <c r="AB17" s="1">
        <v>47.7</v>
      </c>
      <c r="AC17" s="1">
        <v>47.6</v>
      </c>
      <c r="AD17" s="1">
        <v>47.6</v>
      </c>
      <c r="AE17" s="1">
        <v>47.5</v>
      </c>
      <c r="AF17" s="1">
        <v>47.4</v>
      </c>
      <c r="AG17" s="1">
        <v>47.4</v>
      </c>
      <c r="AH17" s="1">
        <v>47.4</v>
      </c>
      <c r="AI17" s="1">
        <v>47.4</v>
      </c>
    </row>
    <row r="18" spans="1:35" x14ac:dyDescent="0.2">
      <c r="A18" s="1" t="s">
        <v>21</v>
      </c>
      <c r="E18" s="1">
        <v>43</v>
      </c>
      <c r="F18" s="1">
        <v>43.4</v>
      </c>
      <c r="G18" s="1">
        <v>43.9</v>
      </c>
      <c r="H18" s="1">
        <v>44.6</v>
      </c>
      <c r="I18" s="1">
        <v>45.3</v>
      </c>
      <c r="J18" s="1">
        <v>45.9</v>
      </c>
      <c r="K18" s="1">
        <v>46.5</v>
      </c>
      <c r="L18" s="1">
        <v>46.9</v>
      </c>
      <c r="M18" s="1">
        <v>47.4</v>
      </c>
      <c r="N18" s="1">
        <v>47.7</v>
      </c>
      <c r="O18" s="1">
        <v>48.1</v>
      </c>
      <c r="P18" s="1">
        <v>48.4</v>
      </c>
      <c r="Q18" s="1">
        <v>48.8</v>
      </c>
      <c r="R18" s="1">
        <v>49.2</v>
      </c>
      <c r="S18" s="1">
        <v>49.6</v>
      </c>
      <c r="T18" s="1">
        <v>50.2</v>
      </c>
      <c r="U18" s="1">
        <v>50.7</v>
      </c>
      <c r="V18" s="1">
        <v>51</v>
      </c>
      <c r="W18" s="1">
        <v>51.1</v>
      </c>
      <c r="X18" s="1">
        <v>51.4</v>
      </c>
      <c r="Y18" s="1">
        <v>51.8</v>
      </c>
      <c r="Z18" s="1">
        <v>52.2</v>
      </c>
      <c r="AA18" s="1">
        <v>52.1</v>
      </c>
      <c r="AB18" s="1">
        <v>52</v>
      </c>
      <c r="AC18" s="1">
        <v>52.2</v>
      </c>
      <c r="AD18" s="1">
        <v>52.3</v>
      </c>
      <c r="AE18" s="1">
        <v>52.9</v>
      </c>
      <c r="AF18" s="1">
        <v>53.3</v>
      </c>
      <c r="AG18" s="1">
        <v>53.5</v>
      </c>
      <c r="AH18" s="1">
        <v>53.5</v>
      </c>
    </row>
    <row r="19" spans="1:35" x14ac:dyDescent="0.2">
      <c r="A19" s="1" t="s">
        <v>15</v>
      </c>
      <c r="K19" s="1">
        <v>53.5</v>
      </c>
      <c r="L19" s="1">
        <v>53.7</v>
      </c>
      <c r="M19" s="1">
        <v>53.8</v>
      </c>
      <c r="N19" s="1">
        <v>54</v>
      </c>
      <c r="O19" s="1">
        <v>54.2</v>
      </c>
      <c r="P19" s="1">
        <v>54.4</v>
      </c>
      <c r="Q19" s="1">
        <v>54.7</v>
      </c>
      <c r="R19" s="1">
        <v>55</v>
      </c>
      <c r="S19" s="1">
        <v>55.2</v>
      </c>
      <c r="T19" s="1">
        <v>55.5</v>
      </c>
      <c r="U19" s="1">
        <v>55.8</v>
      </c>
      <c r="V19" s="1">
        <v>56</v>
      </c>
      <c r="W19" s="1">
        <v>56.2</v>
      </c>
      <c r="X19" s="1">
        <v>56.3</v>
      </c>
      <c r="Y19" s="1">
        <v>56.5</v>
      </c>
      <c r="Z19" s="1">
        <v>56.6</v>
      </c>
      <c r="AA19" s="1">
        <v>56.6</v>
      </c>
      <c r="AB19" s="1">
        <v>56.6</v>
      </c>
      <c r="AC19" s="1">
        <v>56.6</v>
      </c>
      <c r="AD19" s="1">
        <v>56.5</v>
      </c>
      <c r="AE19" s="1">
        <v>56.5</v>
      </c>
      <c r="AF19" s="1">
        <v>56.4</v>
      </c>
      <c r="AG19" s="1">
        <v>56.4</v>
      </c>
      <c r="AH19" s="1">
        <v>56.4</v>
      </c>
    </row>
    <row r="20" spans="1:35" x14ac:dyDescent="0.2">
      <c r="A20" s="1" t="s">
        <v>16</v>
      </c>
      <c r="E20" s="1">
        <v>51.8</v>
      </c>
      <c r="F20" s="1">
        <v>52</v>
      </c>
      <c r="G20" s="1">
        <v>52.3</v>
      </c>
      <c r="H20" s="1">
        <v>52.5</v>
      </c>
      <c r="I20" s="1">
        <v>52.7</v>
      </c>
      <c r="J20" s="1">
        <v>53</v>
      </c>
      <c r="K20" s="1">
        <v>53.2</v>
      </c>
      <c r="L20" s="1">
        <v>53.4</v>
      </c>
      <c r="M20" s="1">
        <v>53.7</v>
      </c>
      <c r="N20" s="1">
        <v>53.9</v>
      </c>
      <c r="O20" s="1">
        <v>54.1</v>
      </c>
      <c r="P20" s="1">
        <v>54.2</v>
      </c>
      <c r="Q20" s="1">
        <v>54.3</v>
      </c>
      <c r="R20" s="1">
        <v>54.4</v>
      </c>
      <c r="S20" s="1">
        <v>54.3</v>
      </c>
      <c r="T20" s="1">
        <v>54.3</v>
      </c>
      <c r="U20" s="1">
        <v>54.3</v>
      </c>
      <c r="V20" s="1">
        <v>54.2</v>
      </c>
      <c r="W20" s="1">
        <v>54.1</v>
      </c>
      <c r="X20" s="1">
        <v>54</v>
      </c>
      <c r="Y20" s="1">
        <v>53.8</v>
      </c>
      <c r="Z20" s="1">
        <v>53.6</v>
      </c>
      <c r="AA20" s="1">
        <v>53.3</v>
      </c>
      <c r="AB20" s="1">
        <v>53</v>
      </c>
      <c r="AC20" s="1">
        <v>52.7</v>
      </c>
      <c r="AD20" s="1">
        <v>52.4</v>
      </c>
      <c r="AE20" s="1">
        <v>52.1</v>
      </c>
      <c r="AF20" s="1">
        <v>52</v>
      </c>
      <c r="AG20" s="1">
        <v>51.8</v>
      </c>
      <c r="AH20" s="1">
        <v>51.7</v>
      </c>
      <c r="AI20" s="1">
        <v>51.7</v>
      </c>
    </row>
    <row r="21" spans="1:35" x14ac:dyDescent="0.2">
      <c r="A21" s="1" t="s">
        <v>24</v>
      </c>
      <c r="V21" s="1">
        <v>48.3</v>
      </c>
      <c r="W21" s="1">
        <v>48.4</v>
      </c>
      <c r="X21" s="1">
        <v>48.6</v>
      </c>
      <c r="Y21" s="1">
        <v>48.7</v>
      </c>
      <c r="Z21" s="1">
        <v>48.9</v>
      </c>
      <c r="AA21" s="1">
        <v>49.1</v>
      </c>
      <c r="AB21" s="1">
        <v>49.3</v>
      </c>
      <c r="AC21" s="1">
        <v>49.6</v>
      </c>
      <c r="AD21" s="1">
        <v>49.8</v>
      </c>
      <c r="AE21" s="1">
        <v>49.9</v>
      </c>
      <c r="AF21" s="1">
        <v>50</v>
      </c>
      <c r="AG21" s="1">
        <v>50</v>
      </c>
    </row>
    <row r="22" spans="1:35" x14ac:dyDescent="0.2">
      <c r="A22" s="1" t="s">
        <v>11</v>
      </c>
      <c r="B22" s="1">
        <v>36.6</v>
      </c>
      <c r="C22" s="1">
        <v>36.700000000000003</v>
      </c>
      <c r="D22" s="1">
        <v>37.1</v>
      </c>
      <c r="E22" s="1">
        <v>37.5</v>
      </c>
      <c r="F22" s="1">
        <v>37.9</v>
      </c>
      <c r="G22" s="1">
        <v>38.1</v>
      </c>
      <c r="H22" s="1">
        <v>38.5</v>
      </c>
      <c r="I22" s="1">
        <v>40.200000000000003</v>
      </c>
      <c r="J22" s="1">
        <v>42.2</v>
      </c>
      <c r="K22" s="1">
        <v>44.2</v>
      </c>
      <c r="L22" s="1">
        <v>46.1</v>
      </c>
      <c r="M22" s="1">
        <v>45.7</v>
      </c>
      <c r="N22" s="1">
        <v>46.1</v>
      </c>
      <c r="O22" s="1">
        <v>46.6</v>
      </c>
      <c r="P22" s="1">
        <v>47.4</v>
      </c>
      <c r="Q22" s="1">
        <v>47.8</v>
      </c>
      <c r="R22" s="1">
        <v>48.3</v>
      </c>
      <c r="S22" s="1">
        <v>49.1</v>
      </c>
      <c r="T22" s="1">
        <v>50.5</v>
      </c>
      <c r="U22" s="1">
        <v>51.9</v>
      </c>
      <c r="V22" s="1">
        <v>51.2</v>
      </c>
      <c r="W22" s="1">
        <v>50.3</v>
      </c>
      <c r="X22" s="1">
        <v>49.4</v>
      </c>
      <c r="Y22" s="1">
        <v>48.9</v>
      </c>
      <c r="Z22" s="1">
        <v>48.4</v>
      </c>
      <c r="AA22" s="1">
        <v>48.1</v>
      </c>
      <c r="AB22" s="1">
        <v>48</v>
      </c>
      <c r="AC22" s="1">
        <v>48</v>
      </c>
      <c r="AD22" s="1">
        <v>48.3</v>
      </c>
      <c r="AE22" s="1">
        <v>47.6</v>
      </c>
      <c r="AF22" s="1">
        <v>47.2</v>
      </c>
      <c r="AG22" s="1">
        <v>47.1</v>
      </c>
      <c r="AH22" s="1">
        <v>46.1</v>
      </c>
      <c r="AI22" s="1">
        <v>45.9</v>
      </c>
    </row>
    <row r="23" spans="1:35" x14ac:dyDescent="0.2">
      <c r="A23" s="1" t="s">
        <v>17</v>
      </c>
      <c r="F23" s="1">
        <v>31.5</v>
      </c>
      <c r="G23" s="1">
        <v>31.7</v>
      </c>
      <c r="H23" s="1">
        <v>32.299999999999997</v>
      </c>
      <c r="I23" s="1">
        <v>33.1</v>
      </c>
      <c r="J23" s="1">
        <v>34.299999999999997</v>
      </c>
      <c r="K23" s="1">
        <v>35.5</v>
      </c>
      <c r="L23" s="1">
        <v>36.700000000000003</v>
      </c>
      <c r="M23" s="1">
        <v>36.9</v>
      </c>
      <c r="N23" s="1">
        <v>37.1</v>
      </c>
      <c r="O23" s="1">
        <v>37.700000000000003</v>
      </c>
      <c r="P23" s="1">
        <v>38.200000000000003</v>
      </c>
      <c r="Q23" s="1">
        <v>38.799999999999997</v>
      </c>
      <c r="R23" s="1">
        <v>39.5</v>
      </c>
      <c r="S23" s="1">
        <v>40.200000000000003</v>
      </c>
      <c r="T23" s="1">
        <v>41</v>
      </c>
      <c r="U23" s="1">
        <v>41.7</v>
      </c>
      <c r="V23" s="1">
        <v>42.5</v>
      </c>
      <c r="W23" s="1">
        <v>43.4</v>
      </c>
      <c r="X23" s="1">
        <v>43.7</v>
      </c>
      <c r="Y23" s="1">
        <v>43.7</v>
      </c>
      <c r="Z23" s="1">
        <v>43.7</v>
      </c>
      <c r="AA23" s="1">
        <v>43.8</v>
      </c>
      <c r="AB23" s="1">
        <v>43.9</v>
      </c>
      <c r="AC23" s="1">
        <v>44.1</v>
      </c>
      <c r="AD23" s="1">
        <v>44.4</v>
      </c>
      <c r="AE23" s="1">
        <v>44.6</v>
      </c>
      <c r="AF23" s="1">
        <v>44.6</v>
      </c>
      <c r="AG23" s="1">
        <v>44.5</v>
      </c>
      <c r="AH23" s="1">
        <v>44.6</v>
      </c>
    </row>
    <row r="24" spans="1:35" x14ac:dyDescent="0.2">
      <c r="A24" s="1" t="s">
        <v>18</v>
      </c>
      <c r="E24" s="1">
        <v>35.299999999999997</v>
      </c>
      <c r="F24" s="1">
        <v>35.6</v>
      </c>
      <c r="G24" s="1">
        <v>36.299999999999997</v>
      </c>
      <c r="H24" s="1">
        <v>37.5</v>
      </c>
      <c r="I24" s="1">
        <v>40</v>
      </c>
      <c r="J24" s="1">
        <v>43.3</v>
      </c>
      <c r="K24" s="1">
        <v>45.4</v>
      </c>
      <c r="L24" s="1">
        <v>46.6</v>
      </c>
      <c r="M24" s="1">
        <v>47.3</v>
      </c>
      <c r="N24" s="1">
        <v>47.1</v>
      </c>
      <c r="O24" s="1">
        <v>47.3</v>
      </c>
      <c r="P24" s="1">
        <v>47.4</v>
      </c>
      <c r="Q24" s="1">
        <v>47.9</v>
      </c>
      <c r="R24" s="1">
        <v>47.7</v>
      </c>
      <c r="S24" s="1">
        <v>47.6</v>
      </c>
      <c r="T24" s="1">
        <v>47.9</v>
      </c>
      <c r="U24" s="1">
        <v>48.1</v>
      </c>
      <c r="V24" s="1">
        <v>48</v>
      </c>
      <c r="W24" s="1">
        <v>47.8</v>
      </c>
      <c r="X24" s="1">
        <v>47.3</v>
      </c>
      <c r="Y24" s="1">
        <v>47.5</v>
      </c>
      <c r="Z24" s="1">
        <v>47.1</v>
      </c>
      <c r="AA24" s="1">
        <v>46.5</v>
      </c>
      <c r="AB24" s="1">
        <v>46.5</v>
      </c>
      <c r="AC24" s="1">
        <v>46.2</v>
      </c>
      <c r="AD24" s="1">
        <v>45.6</v>
      </c>
      <c r="AE24" s="1">
        <v>45</v>
      </c>
      <c r="AF24" s="1">
        <v>44.5</v>
      </c>
      <c r="AG24" s="1">
        <v>44.4</v>
      </c>
      <c r="AH24" s="1">
        <v>44.4</v>
      </c>
      <c r="AI24" s="1">
        <v>44.4</v>
      </c>
    </row>
    <row r="25" spans="1:35" x14ac:dyDescent="0.2">
      <c r="A25" s="1" t="s">
        <v>19</v>
      </c>
      <c r="N25" s="1">
        <v>48.3</v>
      </c>
      <c r="O25" s="1">
        <v>48.5</v>
      </c>
      <c r="P25" s="1">
        <v>48.8</v>
      </c>
      <c r="Q25" s="1">
        <v>49.4</v>
      </c>
      <c r="R25" s="1">
        <v>50</v>
      </c>
      <c r="S25" s="1">
        <v>50.4</v>
      </c>
      <c r="T25" s="1">
        <v>50.7</v>
      </c>
      <c r="U25" s="1">
        <v>50.8</v>
      </c>
      <c r="V25" s="1">
        <v>50.7</v>
      </c>
      <c r="W25" s="1">
        <v>50.3</v>
      </c>
      <c r="X25" s="1">
        <v>50.5</v>
      </c>
      <c r="Y25" s="1">
        <v>50.5</v>
      </c>
      <c r="Z25" s="1">
        <v>50.7</v>
      </c>
      <c r="AA25" s="1">
        <v>51</v>
      </c>
      <c r="AB25" s="1">
        <v>51.1</v>
      </c>
      <c r="AC25" s="1">
        <v>51.4</v>
      </c>
      <c r="AD25" s="1">
        <v>51.5</v>
      </c>
      <c r="AE25" s="1">
        <v>51.3</v>
      </c>
      <c r="AF25" s="1">
        <v>51</v>
      </c>
      <c r="AG25" s="1">
        <v>50.8</v>
      </c>
      <c r="AH25" s="1">
        <v>50.8</v>
      </c>
      <c r="AI25" s="1">
        <v>50.9</v>
      </c>
    </row>
    <row r="26" spans="1:35" x14ac:dyDescent="0.2">
      <c r="A26" s="1" t="s">
        <v>4</v>
      </c>
      <c r="E26" s="1">
        <v>34.299999999999997</v>
      </c>
      <c r="F26" s="1">
        <v>34.4</v>
      </c>
      <c r="G26" s="1">
        <v>35.4</v>
      </c>
      <c r="H26" s="1">
        <v>36.799999999999997</v>
      </c>
      <c r="I26" s="1">
        <v>38.700000000000003</v>
      </c>
      <c r="J26" s="1">
        <v>39</v>
      </c>
      <c r="K26" s="1">
        <v>40</v>
      </c>
      <c r="L26" s="1">
        <v>41</v>
      </c>
      <c r="M26" s="1">
        <v>42</v>
      </c>
      <c r="N26" s="1">
        <v>42.4</v>
      </c>
      <c r="O26" s="1">
        <v>42.7</v>
      </c>
      <c r="P26" s="1">
        <v>43</v>
      </c>
      <c r="Q26" s="1">
        <v>43.3</v>
      </c>
      <c r="R26" s="1">
        <v>43.6</v>
      </c>
      <c r="S26" s="1">
        <v>43.9</v>
      </c>
      <c r="T26" s="1">
        <v>44.1</v>
      </c>
      <c r="U26" s="1">
        <v>44.2</v>
      </c>
      <c r="V26" s="1">
        <v>44</v>
      </c>
      <c r="W26" s="1">
        <v>42.7</v>
      </c>
      <c r="X26" s="1">
        <v>42.2</v>
      </c>
      <c r="Y26" s="1">
        <v>42</v>
      </c>
      <c r="Z26" s="1">
        <v>42.3</v>
      </c>
      <c r="AA26" s="1">
        <v>42.2</v>
      </c>
      <c r="AB26" s="1">
        <v>41.7</v>
      </c>
      <c r="AC26" s="1">
        <v>41.2</v>
      </c>
      <c r="AD26" s="1">
        <v>41.2</v>
      </c>
      <c r="AE26" s="1">
        <v>40.6</v>
      </c>
      <c r="AF26" s="1">
        <v>40.200000000000003</v>
      </c>
      <c r="AG26" s="1">
        <v>39.700000000000003</v>
      </c>
      <c r="AH26" s="1">
        <v>39.299999999999997</v>
      </c>
    </row>
    <row r="27" spans="1:35" x14ac:dyDescent="0.2">
      <c r="A27" s="1" t="s">
        <v>6</v>
      </c>
      <c r="D27" s="1">
        <v>37</v>
      </c>
      <c r="E27" s="1">
        <v>37.1</v>
      </c>
      <c r="F27" s="1">
        <v>37.4</v>
      </c>
      <c r="G27" s="1">
        <v>37.700000000000003</v>
      </c>
      <c r="H27" s="1">
        <v>38.1</v>
      </c>
      <c r="I27" s="1">
        <v>38.5</v>
      </c>
      <c r="J27" s="1">
        <v>38.799999999999997</v>
      </c>
      <c r="K27" s="1">
        <v>38.6</v>
      </c>
      <c r="L27" s="1">
        <v>38.4</v>
      </c>
      <c r="M27" s="1">
        <v>38.299999999999997</v>
      </c>
      <c r="N27" s="1">
        <v>38</v>
      </c>
      <c r="O27" s="1">
        <v>38.1</v>
      </c>
      <c r="P27" s="1">
        <v>38.200000000000003</v>
      </c>
      <c r="Q27" s="1">
        <v>38.5</v>
      </c>
      <c r="R27" s="1">
        <v>38.799999999999997</v>
      </c>
      <c r="S27" s="1">
        <v>39.1</v>
      </c>
      <c r="T27" s="1">
        <v>39.5</v>
      </c>
      <c r="U27" s="1">
        <v>39.799999999999997</v>
      </c>
      <c r="V27" s="1">
        <v>40</v>
      </c>
      <c r="W27" s="1">
        <v>39.9</v>
      </c>
      <c r="X27" s="1">
        <v>39.799999999999997</v>
      </c>
      <c r="Y27" s="1">
        <v>39.799999999999997</v>
      </c>
      <c r="Z27" s="1">
        <v>40.6</v>
      </c>
      <c r="AA27" s="1">
        <v>41.1</v>
      </c>
      <c r="AB27" s="1">
        <v>41.5</v>
      </c>
      <c r="AC27" s="1">
        <v>42.3</v>
      </c>
      <c r="AD27" s="1">
        <v>42.3</v>
      </c>
      <c r="AE27" s="1">
        <v>42.2</v>
      </c>
      <c r="AF27" s="1">
        <v>42</v>
      </c>
      <c r="AG27" s="1">
        <v>41.4</v>
      </c>
      <c r="AH27" s="1">
        <v>41.1</v>
      </c>
    </row>
    <row r="28" spans="1:35" x14ac:dyDescent="0.2">
      <c r="A28" s="1" t="s">
        <v>31</v>
      </c>
      <c r="B28" s="1">
        <v>31.7</v>
      </c>
      <c r="C28" s="1">
        <v>31.7</v>
      </c>
      <c r="D28" s="1">
        <v>31.7</v>
      </c>
      <c r="E28" s="1">
        <v>31.7</v>
      </c>
      <c r="F28" s="1">
        <v>31.8</v>
      </c>
      <c r="G28" s="1">
        <v>31.7</v>
      </c>
    </row>
    <row r="29" spans="1:35" x14ac:dyDescent="0.2">
      <c r="A29" s="1" t="s">
        <v>28</v>
      </c>
      <c r="E29" s="1">
        <v>37.799999999999997</v>
      </c>
      <c r="F29" s="1">
        <v>37.799999999999997</v>
      </c>
      <c r="G29" s="1">
        <v>37.9</v>
      </c>
      <c r="H29" s="1">
        <v>38</v>
      </c>
      <c r="I29" s="1">
        <v>38.1</v>
      </c>
      <c r="J29" s="1">
        <v>38.200000000000003</v>
      </c>
      <c r="K29" s="1">
        <v>38.299999999999997</v>
      </c>
      <c r="L29" s="1">
        <v>38.4</v>
      </c>
      <c r="M29" s="1">
        <v>38.5</v>
      </c>
      <c r="N29" s="1">
        <v>38.6</v>
      </c>
      <c r="O29" s="1">
        <v>38.799999999999997</v>
      </c>
      <c r="P29" s="1">
        <v>38.9</v>
      </c>
      <c r="Q29" s="1">
        <v>38.799999999999997</v>
      </c>
      <c r="R29" s="1">
        <v>38.799999999999997</v>
      </c>
      <c r="S29" s="1">
        <v>38.799999999999997</v>
      </c>
      <c r="T29" s="1">
        <v>38.799999999999997</v>
      </c>
      <c r="U29" s="1">
        <v>38.700000000000003</v>
      </c>
      <c r="V29" s="1">
        <v>38.6</v>
      </c>
      <c r="W29" s="1">
        <v>38.6</v>
      </c>
      <c r="X29" s="1">
        <v>38.5</v>
      </c>
      <c r="Y29" s="1">
        <v>38.4</v>
      </c>
      <c r="Z29" s="1">
        <v>38.299999999999997</v>
      </c>
      <c r="AA29" s="1">
        <v>38.299999999999997</v>
      </c>
      <c r="AB29" s="1">
        <v>38.299999999999997</v>
      </c>
      <c r="AC29" s="1">
        <v>38.200000000000003</v>
      </c>
      <c r="AD29" s="1">
        <v>38.299999999999997</v>
      </c>
      <c r="AE29" s="1">
        <v>38.299999999999997</v>
      </c>
      <c r="AF29" s="1">
        <v>38.299999999999997</v>
      </c>
    </row>
    <row r="30" spans="1:35" x14ac:dyDescent="0.2">
      <c r="A30" s="1" t="s">
        <v>32</v>
      </c>
      <c r="E30" s="1">
        <v>37.799999999999997</v>
      </c>
      <c r="F30" s="1">
        <v>38</v>
      </c>
      <c r="G30" s="1">
        <v>38.200000000000003</v>
      </c>
      <c r="H30" s="1">
        <v>38.6</v>
      </c>
      <c r="I30" s="1">
        <v>38.799999999999997</v>
      </c>
      <c r="J30" s="1">
        <v>39.1</v>
      </c>
      <c r="K30" s="1">
        <v>39.4</v>
      </c>
      <c r="L30" s="1">
        <v>39.6</v>
      </c>
      <c r="M30" s="1">
        <v>39.799999999999997</v>
      </c>
      <c r="N30" s="1">
        <v>40.1</v>
      </c>
      <c r="O30" s="1">
        <v>40.299999999999997</v>
      </c>
      <c r="P30" s="1">
        <v>40.4</v>
      </c>
      <c r="Q30" s="1">
        <v>40.5</v>
      </c>
      <c r="R30" s="1">
        <v>40.6</v>
      </c>
      <c r="S30" s="1">
        <v>40.700000000000003</v>
      </c>
      <c r="T30" s="1">
        <v>40.799999999999997</v>
      </c>
      <c r="U30" s="1">
        <v>40.9</v>
      </c>
      <c r="V30" s="1">
        <v>41</v>
      </c>
    </row>
    <row r="31" spans="1:35" x14ac:dyDescent="0.2">
      <c r="A31" s="1" t="s">
        <v>8</v>
      </c>
      <c r="B31" s="1">
        <v>24.4</v>
      </c>
      <c r="C31" s="1">
        <v>24.2</v>
      </c>
      <c r="D31" s="1">
        <v>24</v>
      </c>
      <c r="E31" s="1">
        <v>23.7</v>
      </c>
      <c r="F31" s="1">
        <v>23.6</v>
      </c>
      <c r="G31" s="1">
        <v>23.6</v>
      </c>
      <c r="H31" s="1">
        <v>23.7</v>
      </c>
      <c r="I31" s="1">
        <v>24</v>
      </c>
      <c r="J31" s="1">
        <v>24.4</v>
      </c>
      <c r="K31" s="1">
        <v>24.8</v>
      </c>
      <c r="L31" s="1">
        <v>25.1</v>
      </c>
      <c r="M31" s="1">
        <v>25.1</v>
      </c>
      <c r="N31" s="1">
        <v>25</v>
      </c>
      <c r="O31" s="1">
        <v>24.9</v>
      </c>
      <c r="P31" s="1">
        <v>24.8</v>
      </c>
      <c r="Q31" s="1">
        <v>24.7</v>
      </c>
      <c r="R31" s="1">
        <v>24.5</v>
      </c>
      <c r="S31" s="1">
        <v>24.2</v>
      </c>
      <c r="T31" s="1">
        <v>24</v>
      </c>
      <c r="U31" s="1">
        <v>23.8</v>
      </c>
      <c r="V31" s="1">
        <v>23.6</v>
      </c>
      <c r="W31" s="1">
        <v>23.5</v>
      </c>
      <c r="X31" s="1">
        <v>23.3</v>
      </c>
      <c r="Y31" s="1">
        <v>23</v>
      </c>
      <c r="Z31" s="1">
        <v>22.8</v>
      </c>
      <c r="AA31" s="1">
        <v>22.6</v>
      </c>
      <c r="AB31" s="1">
        <v>22.5</v>
      </c>
      <c r="AC31" s="1">
        <v>22.4</v>
      </c>
      <c r="AD31" s="1">
        <v>22.2</v>
      </c>
      <c r="AE31" s="1">
        <v>22.2</v>
      </c>
      <c r="AF31" s="1">
        <v>22.2</v>
      </c>
      <c r="AG31" s="1">
        <v>22.1</v>
      </c>
      <c r="AH31" s="1">
        <v>22.1</v>
      </c>
      <c r="AI31" s="1">
        <v>22.1</v>
      </c>
    </row>
    <row r="32" spans="1:35" x14ac:dyDescent="0.2">
      <c r="A32" s="1" t="s">
        <v>33</v>
      </c>
      <c r="E32" s="1">
        <v>39.1</v>
      </c>
      <c r="F32" s="1">
        <v>39.200000000000003</v>
      </c>
      <c r="G32" s="1">
        <v>39.5</v>
      </c>
      <c r="H32" s="1">
        <v>39.700000000000003</v>
      </c>
      <c r="I32" s="1">
        <v>40</v>
      </c>
      <c r="J32" s="1">
        <v>40.299999999999997</v>
      </c>
      <c r="K32" s="1">
        <v>40.6</v>
      </c>
      <c r="L32" s="1">
        <v>40.9</v>
      </c>
      <c r="M32" s="1">
        <v>41.2</v>
      </c>
      <c r="N32" s="1">
        <v>41.5</v>
      </c>
      <c r="O32" s="1">
        <v>41.7</v>
      </c>
      <c r="P32" s="1">
        <v>41.7</v>
      </c>
      <c r="Q32" s="1">
        <v>41.6</v>
      </c>
      <c r="R32" s="1">
        <v>41.5</v>
      </c>
      <c r="S32" s="1">
        <v>41.5</v>
      </c>
      <c r="T32" s="1">
        <v>41.5</v>
      </c>
    </row>
    <row r="33" spans="1:7" x14ac:dyDescent="0.2">
      <c r="A33" s="1" t="s">
        <v>34</v>
      </c>
      <c r="B33" s="1">
        <v>47.2</v>
      </c>
      <c r="C33" s="1">
        <v>47.3</v>
      </c>
      <c r="D33" s="1">
        <v>47.5</v>
      </c>
      <c r="E33" s="1">
        <v>47.6</v>
      </c>
      <c r="F33" s="1">
        <v>47.6</v>
      </c>
      <c r="G33" s="1">
        <v>47.8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DFDB-7834-D142-9C8C-7644A97AE3FA}">
  <dimension ref="A1:AD24"/>
  <sheetViews>
    <sheetView workbookViewId="0">
      <selection activeCell="B61" sqref="B61"/>
    </sheetView>
  </sheetViews>
  <sheetFormatPr baseColWidth="10" defaultRowHeight="16" x14ac:dyDescent="0.2"/>
  <cols>
    <col min="1" max="16384" width="10.83203125" style="1"/>
  </cols>
  <sheetData>
    <row r="1" spans="1:30" x14ac:dyDescent="0.2">
      <c r="B1" s="1">
        <v>1990</v>
      </c>
      <c r="C1" s="1">
        <v>1991</v>
      </c>
      <c r="D1" s="1">
        <v>1992</v>
      </c>
      <c r="E1" s="1">
        <v>1993</v>
      </c>
      <c r="F1" s="1">
        <v>1994</v>
      </c>
      <c r="G1" s="1">
        <v>1995</v>
      </c>
      <c r="H1" s="1">
        <v>1996</v>
      </c>
      <c r="I1" s="1">
        <v>1997</v>
      </c>
      <c r="J1" s="1">
        <v>1998</v>
      </c>
      <c r="K1" s="1">
        <v>1999</v>
      </c>
      <c r="L1" s="1">
        <v>2000</v>
      </c>
      <c r="M1" s="1">
        <v>2001</v>
      </c>
      <c r="N1" s="1">
        <v>2002</v>
      </c>
      <c r="O1" s="1">
        <v>2003</v>
      </c>
      <c r="P1" s="1">
        <v>2004</v>
      </c>
      <c r="Q1" s="1">
        <v>2005</v>
      </c>
      <c r="R1" s="1">
        <v>2006</v>
      </c>
      <c r="S1" s="1">
        <v>2007</v>
      </c>
      <c r="T1" s="1">
        <v>2008</v>
      </c>
      <c r="U1" s="1">
        <v>2009</v>
      </c>
      <c r="V1" s="1">
        <v>2010</v>
      </c>
      <c r="W1" s="1">
        <v>2011</v>
      </c>
      <c r="X1" s="1">
        <v>2012</v>
      </c>
      <c r="Y1" s="1">
        <v>2013</v>
      </c>
      <c r="Z1" s="1">
        <v>2014</v>
      </c>
      <c r="AA1" s="1">
        <v>2015</v>
      </c>
      <c r="AB1" s="1">
        <v>2016</v>
      </c>
      <c r="AC1" s="1">
        <v>2017</v>
      </c>
      <c r="AD1" s="1">
        <v>2018</v>
      </c>
    </row>
    <row r="2" spans="1:30" x14ac:dyDescent="0.2">
      <c r="A2" s="1" t="s">
        <v>27</v>
      </c>
      <c r="C2" s="1">
        <v>76.8</v>
      </c>
      <c r="D2" s="1">
        <v>72</v>
      </c>
      <c r="E2" s="1">
        <v>65.8</v>
      </c>
      <c r="F2" s="1">
        <v>63.3</v>
      </c>
      <c r="G2" s="1">
        <v>79.3</v>
      </c>
      <c r="H2" s="1">
        <v>83.4</v>
      </c>
      <c r="Z2" s="1">
        <v>43</v>
      </c>
      <c r="AA2" s="1">
        <f>(54+57)/2</f>
        <v>55.5</v>
      </c>
      <c r="AB2" s="1">
        <f>(48+51)/2</f>
        <v>49.5</v>
      </c>
      <c r="AC2" s="1">
        <f>(56+59)/2</f>
        <v>57.5</v>
      </c>
      <c r="AD2" s="1">
        <v>58</v>
      </c>
    </row>
    <row r="3" spans="1:30" x14ac:dyDescent="0.2">
      <c r="A3" s="1" t="s">
        <v>23</v>
      </c>
      <c r="D3" s="1">
        <v>22.3</v>
      </c>
      <c r="E3" s="1">
        <v>20.100000000000001</v>
      </c>
      <c r="F3" s="1">
        <v>18.3</v>
      </c>
      <c r="G3" s="1">
        <v>34.5</v>
      </c>
      <c r="H3" s="1">
        <v>30.2</v>
      </c>
    </row>
    <row r="4" spans="1:30" x14ac:dyDescent="0.2">
      <c r="A4" s="1" t="s">
        <v>3</v>
      </c>
      <c r="D4" s="1">
        <v>17</v>
      </c>
      <c r="E4" s="1">
        <v>13.6</v>
      </c>
      <c r="F4" s="1">
        <v>24.9</v>
      </c>
      <c r="G4" s="1">
        <v>21.7</v>
      </c>
      <c r="H4" s="1">
        <v>27.3</v>
      </c>
    </row>
    <row r="5" spans="1:30" x14ac:dyDescent="0.2">
      <c r="A5" s="1" t="s">
        <v>22</v>
      </c>
      <c r="B5" s="1">
        <v>25</v>
      </c>
      <c r="C5" s="1">
        <v>40.799999999999997</v>
      </c>
      <c r="D5" s="1">
        <v>39.5</v>
      </c>
      <c r="E5" s="1">
        <v>20.9</v>
      </c>
      <c r="F5" s="1">
        <v>27.9</v>
      </c>
      <c r="G5" s="1">
        <v>39.6</v>
      </c>
      <c r="H5" s="1">
        <v>22.5</v>
      </c>
      <c r="L5" s="1">
        <v>19.7</v>
      </c>
      <c r="M5" s="1">
        <v>20.399999999999999</v>
      </c>
      <c r="N5" s="1">
        <v>14.6</v>
      </c>
      <c r="O5" s="1">
        <v>15.6</v>
      </c>
      <c r="P5" s="1">
        <f>(18+16.2)/2</f>
        <v>17.100000000000001</v>
      </c>
      <c r="Q5" s="1">
        <f>(16+15)/2</f>
        <v>15.5</v>
      </c>
      <c r="R5" s="1">
        <f>(16+18)/2</f>
        <v>17</v>
      </c>
      <c r="S5" s="1">
        <f>(18+22)/2</f>
        <v>20</v>
      </c>
      <c r="T5" s="1">
        <f>(16+15)/2</f>
        <v>15.5</v>
      </c>
      <c r="U5" s="1">
        <f>(14+14)/2</f>
        <v>14</v>
      </c>
      <c r="V5" s="1">
        <f>(16+18)/2</f>
        <v>17</v>
      </c>
      <c r="W5" s="1">
        <v>16</v>
      </c>
      <c r="X5" s="1">
        <f>(14+14)/2</f>
        <v>14</v>
      </c>
      <c r="Y5" s="1">
        <f>(13+12)/2</f>
        <v>12.5</v>
      </c>
      <c r="Z5" s="1">
        <f>(18+19)/2</f>
        <v>18.5</v>
      </c>
      <c r="AA5" s="1">
        <f>(20+17)/2</f>
        <v>18.5</v>
      </c>
      <c r="AB5" s="1">
        <f>(15+18)/2</f>
        <v>16.5</v>
      </c>
      <c r="AC5" s="1">
        <f>(21+22)/2</f>
        <v>21.5</v>
      </c>
      <c r="AD5" s="1">
        <v>22</v>
      </c>
    </row>
    <row r="6" spans="1:30" x14ac:dyDescent="0.2">
      <c r="A6" s="1" t="s">
        <v>12</v>
      </c>
      <c r="G6" s="1">
        <v>51.2</v>
      </c>
      <c r="H6" s="1">
        <v>49.6</v>
      </c>
      <c r="P6" s="1">
        <v>24</v>
      </c>
      <c r="Q6" s="1">
        <f>(24+25)/2</f>
        <v>24.5</v>
      </c>
      <c r="R6" s="1">
        <f>(26+27)/2</f>
        <v>26.5</v>
      </c>
      <c r="S6" s="1">
        <f>(27+30)/2</f>
        <v>28.5</v>
      </c>
      <c r="T6" s="1">
        <f>(25+24)/2</f>
        <v>24.5</v>
      </c>
      <c r="U6" s="1">
        <f>(18+14)/2</f>
        <v>16</v>
      </c>
      <c r="V6" s="1">
        <f>(15+19)/2</f>
        <v>17</v>
      </c>
      <c r="W6" s="1">
        <v>22</v>
      </c>
      <c r="X6" s="1">
        <f>(22+18)/2</f>
        <v>20</v>
      </c>
      <c r="Y6" s="1">
        <f>(20+20)/2</f>
        <v>20</v>
      </c>
      <c r="Z6" s="1">
        <f>(18+20)/2</f>
        <v>19</v>
      </c>
      <c r="AA6" s="1">
        <f>(25+27)/2</f>
        <v>26</v>
      </c>
      <c r="AB6" s="1">
        <f>(18+21)/2</f>
        <v>19.5</v>
      </c>
      <c r="AC6" s="1">
        <f>(22+21)/2</f>
        <v>21.5</v>
      </c>
      <c r="AD6" s="1">
        <v>20</v>
      </c>
    </row>
    <row r="7" spans="1:30" x14ac:dyDescent="0.2">
      <c r="A7" s="1" t="s">
        <v>37</v>
      </c>
      <c r="B7" s="1">
        <v>8.8000000000000007</v>
      </c>
      <c r="C7" s="1">
        <v>24.5</v>
      </c>
      <c r="D7" s="1">
        <v>25</v>
      </c>
      <c r="E7" s="1">
        <v>28.5</v>
      </c>
      <c r="F7" s="1">
        <v>24.8</v>
      </c>
      <c r="G7" s="1">
        <v>28.2</v>
      </c>
      <c r="H7" s="1">
        <v>23.8</v>
      </c>
      <c r="L7" s="1">
        <v>10.8</v>
      </c>
      <c r="M7" s="1">
        <v>13.7</v>
      </c>
      <c r="N7" s="1">
        <v>13.6</v>
      </c>
      <c r="O7" s="1">
        <v>12.8</v>
      </c>
      <c r="P7" s="1">
        <f>(10+11.4)/2</f>
        <v>10.7</v>
      </c>
      <c r="Q7" s="1">
        <f>(23+21)/2</f>
        <v>22</v>
      </c>
      <c r="R7" s="1">
        <f>(21+22)/2</f>
        <v>21.5</v>
      </c>
      <c r="S7" s="1">
        <f>(18+18)/2</f>
        <v>18</v>
      </c>
      <c r="T7" s="1">
        <f>(17+11)/2</f>
        <v>14</v>
      </c>
      <c r="U7" s="1">
        <f>(13+14)/2</f>
        <v>13.5</v>
      </c>
      <c r="V7" s="1">
        <f>(9+14)/2</f>
        <v>11.5</v>
      </c>
      <c r="W7" s="1">
        <v>10</v>
      </c>
      <c r="X7" s="1">
        <f>(9+8)/2</f>
        <v>8.5</v>
      </c>
      <c r="Y7" s="1">
        <f>(10+11)/2</f>
        <v>10.5</v>
      </c>
      <c r="Z7" s="1">
        <f>(15+19)/2</f>
        <v>17</v>
      </c>
      <c r="AA7" s="1">
        <f>(17+16)/2</f>
        <v>16.5</v>
      </c>
      <c r="AB7" s="1">
        <f>(18+18)/2</f>
        <v>18</v>
      </c>
      <c r="AC7" s="1">
        <f>(18+18)/2</f>
        <v>18</v>
      </c>
      <c r="AD7" s="1">
        <v>21</v>
      </c>
    </row>
    <row r="8" spans="1:30" x14ac:dyDescent="0.2">
      <c r="A8" s="1" t="s">
        <v>13</v>
      </c>
      <c r="C8" s="1">
        <v>25.3</v>
      </c>
      <c r="D8" s="1">
        <v>26.8</v>
      </c>
      <c r="E8" s="1">
        <v>33.1</v>
      </c>
      <c r="F8" s="1">
        <v>34.799999999999997</v>
      </c>
      <c r="G8" s="1">
        <v>31</v>
      </c>
      <c r="H8" s="1">
        <v>32.4</v>
      </c>
      <c r="L8" s="1">
        <v>23.4</v>
      </c>
      <c r="M8" s="1">
        <v>25.6</v>
      </c>
      <c r="N8" s="1">
        <v>26.2</v>
      </c>
      <c r="O8" s="1">
        <v>24.6</v>
      </c>
      <c r="P8" s="1">
        <f>(34+19.7)/2</f>
        <v>26.85</v>
      </c>
      <c r="Q8" s="1">
        <f>(34+38)/2</f>
        <v>36</v>
      </c>
      <c r="R8" s="1">
        <f>(39+45)/2</f>
        <v>42</v>
      </c>
      <c r="S8" s="1">
        <f>(38+35)/2</f>
        <v>36.5</v>
      </c>
      <c r="T8" s="1">
        <f>(33+19)/2</f>
        <v>26</v>
      </c>
      <c r="U8" s="1">
        <f>(23+29)/2</f>
        <v>26</v>
      </c>
      <c r="V8" s="1">
        <f>(31+34)/2</f>
        <v>32.5</v>
      </c>
      <c r="W8" s="1">
        <v>27</v>
      </c>
      <c r="X8" s="1">
        <f>(34+33)/2</f>
        <v>33.5</v>
      </c>
      <c r="Y8" s="1">
        <f>(32+35)/2</f>
        <v>33.5</v>
      </c>
      <c r="Z8" s="1">
        <f>(29+33)/2</f>
        <v>31</v>
      </c>
      <c r="AA8" s="1">
        <f>(32+30)/2</f>
        <v>31</v>
      </c>
      <c r="AB8" s="1">
        <f>(32+33)/2</f>
        <v>32.5</v>
      </c>
      <c r="AC8" s="1">
        <f>(31+34)/2</f>
        <v>32.5</v>
      </c>
      <c r="AD8" s="1">
        <v>32</v>
      </c>
    </row>
    <row r="9" spans="1:30" x14ac:dyDescent="0.2">
      <c r="A9" s="1" t="s">
        <v>26</v>
      </c>
      <c r="D9" s="1">
        <v>44.7</v>
      </c>
      <c r="F9" s="1">
        <v>16.5</v>
      </c>
      <c r="G9" s="1">
        <v>59.4</v>
      </c>
      <c r="H9" s="1">
        <v>56.9</v>
      </c>
    </row>
    <row r="10" spans="1:30" x14ac:dyDescent="0.2">
      <c r="A10" s="1" t="s">
        <v>9</v>
      </c>
      <c r="B10" s="1">
        <v>6</v>
      </c>
      <c r="C10" s="1">
        <v>22.3</v>
      </c>
      <c r="D10" s="1">
        <v>14.5</v>
      </c>
      <c r="E10" s="1">
        <v>18.5</v>
      </c>
      <c r="F10" s="1">
        <v>17</v>
      </c>
      <c r="G10" s="1">
        <v>11.3</v>
      </c>
      <c r="H10" s="1">
        <v>15.5</v>
      </c>
      <c r="L10" s="1">
        <v>21.2</v>
      </c>
      <c r="M10" s="1">
        <v>24.5</v>
      </c>
      <c r="N10" s="1">
        <v>27</v>
      </c>
      <c r="O10" s="1">
        <v>20.399999999999999</v>
      </c>
      <c r="P10" s="1">
        <f>(21+13.9)/2</f>
        <v>17.45</v>
      </c>
      <c r="Q10" s="1">
        <f>(19+22)/2</f>
        <v>20.5</v>
      </c>
      <c r="R10" s="1">
        <f>(28+11)/2</f>
        <v>19.5</v>
      </c>
      <c r="S10" s="1">
        <f>(15+11)/2</f>
        <v>13</v>
      </c>
      <c r="T10" s="1">
        <f>(12+10)/2</f>
        <v>11</v>
      </c>
      <c r="U10" s="1">
        <f>(13+12)/2</f>
        <v>12.5</v>
      </c>
      <c r="V10" s="1">
        <f>(23+19)/2</f>
        <v>21</v>
      </c>
      <c r="W10" s="1">
        <v>12</v>
      </c>
      <c r="X10" s="1">
        <f>(11+12)/2</f>
        <v>11.5</v>
      </c>
      <c r="Y10" s="1">
        <f>(16+23)/2</f>
        <v>19.5</v>
      </c>
      <c r="Z10" s="1">
        <f>(21+18)/2</f>
        <v>19.5</v>
      </c>
      <c r="AA10" s="1">
        <f>(19+18)/2</f>
        <v>18.5</v>
      </c>
      <c r="AB10" s="1">
        <f>(16+14)/2</f>
        <v>15</v>
      </c>
      <c r="AC10" s="1">
        <f>(18+27)/2</f>
        <v>22.5</v>
      </c>
      <c r="AD10" s="1">
        <v>25</v>
      </c>
    </row>
    <row r="11" spans="1:30" x14ac:dyDescent="0.2">
      <c r="A11" s="1" t="s">
        <v>7</v>
      </c>
      <c r="F11" s="1">
        <v>24.3</v>
      </c>
      <c r="G11" s="1">
        <v>34.700000000000003</v>
      </c>
      <c r="H11" s="1">
        <v>23</v>
      </c>
    </row>
    <row r="12" spans="1:30" x14ac:dyDescent="0.2">
      <c r="A12" s="1" t="s">
        <v>20</v>
      </c>
      <c r="C12" s="1">
        <v>23.1</v>
      </c>
      <c r="D12" s="1">
        <v>22.5</v>
      </c>
      <c r="E12" s="1">
        <v>29.5</v>
      </c>
      <c r="F12" s="1">
        <v>25.1</v>
      </c>
      <c r="G12" s="1">
        <v>22.4</v>
      </c>
      <c r="H12" s="1">
        <v>21.1</v>
      </c>
      <c r="L12" s="1">
        <v>25.8</v>
      </c>
      <c r="M12" s="1">
        <v>28.4</v>
      </c>
      <c r="N12" s="1">
        <v>28</v>
      </c>
      <c r="O12" s="1">
        <v>21.7</v>
      </c>
      <c r="P12" s="1">
        <f>(29+17.2)/2</f>
        <v>23.1</v>
      </c>
      <c r="Q12" s="1">
        <f>(34+34)/2</f>
        <v>34</v>
      </c>
      <c r="R12" s="1">
        <f>(34+40)/2</f>
        <v>37</v>
      </c>
      <c r="S12" s="1">
        <f>(39+30)/2</f>
        <v>34.5</v>
      </c>
      <c r="T12" s="1">
        <f>(27+22)/2</f>
        <v>24.5</v>
      </c>
      <c r="U12" s="1">
        <f>(19+15)/2</f>
        <v>17</v>
      </c>
      <c r="V12" s="1">
        <f>(24+22)/2</f>
        <v>23</v>
      </c>
      <c r="W12" s="1">
        <v>24</v>
      </c>
      <c r="X12" s="1">
        <f>(33+30)/2</f>
        <v>31.5</v>
      </c>
      <c r="Y12" s="1">
        <f>(32+29)/2</f>
        <v>30.5</v>
      </c>
      <c r="Z12" s="1">
        <f>(27+30)/2</f>
        <v>28.5</v>
      </c>
      <c r="AA12" s="1">
        <f>(29+28)/2</f>
        <v>28.5</v>
      </c>
      <c r="AB12" s="1">
        <f>(30+26)/2</f>
        <v>28</v>
      </c>
      <c r="AC12" s="1">
        <f>(27+31)/2</f>
        <v>29</v>
      </c>
      <c r="AD12" s="1">
        <v>30</v>
      </c>
    </row>
    <row r="13" spans="1:30" x14ac:dyDescent="0.2">
      <c r="A13" s="1" t="s">
        <v>21</v>
      </c>
      <c r="C13" s="1">
        <v>24</v>
      </c>
      <c r="D13" s="1">
        <v>23.4</v>
      </c>
      <c r="E13" s="1">
        <v>17.3</v>
      </c>
      <c r="F13" s="1">
        <v>21.3</v>
      </c>
      <c r="G13" s="1">
        <v>20.100000000000001</v>
      </c>
      <c r="H13" s="1">
        <v>23.3</v>
      </c>
      <c r="L13" s="1">
        <v>6.9</v>
      </c>
      <c r="M13" s="1">
        <v>14.7</v>
      </c>
      <c r="N13" s="1">
        <v>19.3</v>
      </c>
      <c r="O13" s="1">
        <v>28.1</v>
      </c>
      <c r="P13" s="1">
        <f>(33+22.9)/2</f>
        <v>27.95</v>
      </c>
      <c r="Q13" s="1">
        <f>(28+30)/2</f>
        <v>29</v>
      </c>
      <c r="R13" s="1">
        <f>(34+39)/2</f>
        <v>36.5</v>
      </c>
      <c r="S13" s="1">
        <f>(38+30)/2</f>
        <v>34</v>
      </c>
      <c r="T13" s="1">
        <f>(34+16)/2</f>
        <v>25</v>
      </c>
      <c r="U13" s="1">
        <f>(16+14)/2</f>
        <v>15</v>
      </c>
      <c r="V13" s="1">
        <f>(17+24)/2</f>
        <v>20.5</v>
      </c>
      <c r="W13" s="1">
        <v>21</v>
      </c>
      <c r="X13" s="1">
        <f>(22+24)/2</f>
        <v>23</v>
      </c>
      <c r="Y13" s="1">
        <f>(26+25)/2</f>
        <v>25.5</v>
      </c>
      <c r="Z13" s="1">
        <f>(25+22)/2</f>
        <v>23.5</v>
      </c>
      <c r="AA13" s="1">
        <f>(24+24)/2</f>
        <v>24</v>
      </c>
      <c r="AB13" s="1">
        <f>(25+23)/2</f>
        <v>24</v>
      </c>
      <c r="AC13" s="1">
        <f>(24+21)/2</f>
        <v>22.5</v>
      </c>
      <c r="AD13" s="1">
        <v>27</v>
      </c>
    </row>
    <row r="14" spans="1:30" x14ac:dyDescent="0.2">
      <c r="A14" s="1" t="s">
        <v>15</v>
      </c>
      <c r="D14" s="1">
        <v>42.5</v>
      </c>
      <c r="E14" s="1">
        <v>32.4</v>
      </c>
      <c r="F14" s="1">
        <v>53.6</v>
      </c>
      <c r="G14" s="1">
        <v>49.1</v>
      </c>
      <c r="H14" s="1">
        <v>39</v>
      </c>
      <c r="S14" s="1">
        <v>30</v>
      </c>
      <c r="T14" s="1">
        <f>(30+31)/2</f>
        <v>30.5</v>
      </c>
      <c r="U14" s="1">
        <f>(29+27)/2</f>
        <v>28</v>
      </c>
      <c r="V14" s="1">
        <f>(27+28)/2</f>
        <v>27.5</v>
      </c>
      <c r="W14" s="1">
        <v>33</v>
      </c>
      <c r="X14" s="1">
        <f>(32+29)/2</f>
        <v>30.5</v>
      </c>
      <c r="Y14" s="1">
        <f>(28+28)/2</f>
        <v>28</v>
      </c>
      <c r="Z14" s="1">
        <f>(30+29)/2</f>
        <v>29.5</v>
      </c>
      <c r="AA14" s="1">
        <f>(25+25)/2</f>
        <v>25</v>
      </c>
      <c r="AB14" s="1">
        <f>(27+24)/2</f>
        <v>25.5</v>
      </c>
      <c r="AC14" s="1">
        <f>(34+35)/2</f>
        <v>34.5</v>
      </c>
      <c r="AD14" s="1">
        <v>25</v>
      </c>
    </row>
    <row r="15" spans="1:30" x14ac:dyDescent="0.2">
      <c r="A15" s="1" t="s">
        <v>16</v>
      </c>
      <c r="D15" s="1">
        <v>21.2</v>
      </c>
    </row>
    <row r="16" spans="1:30" x14ac:dyDescent="0.2">
      <c r="A16" s="1" t="s">
        <v>24</v>
      </c>
      <c r="W16" s="1">
        <v>41</v>
      </c>
      <c r="X16" s="1">
        <f>(43+36)/2</f>
        <v>39.5</v>
      </c>
      <c r="Y16" s="1">
        <f>(43+43)/2</f>
        <v>43</v>
      </c>
      <c r="Z16" s="1">
        <f>(51+47)/2</f>
        <v>49</v>
      </c>
      <c r="AA16" s="1">
        <f>(43+40)/2</f>
        <v>41.5</v>
      </c>
      <c r="AB16" s="1">
        <f>(48+40)/2</f>
        <v>44</v>
      </c>
      <c r="AC16" s="1">
        <f>(34+38)/2</f>
        <v>36</v>
      </c>
      <c r="AD16" s="1">
        <v>43</v>
      </c>
    </row>
    <row r="17" spans="1:30" x14ac:dyDescent="0.2">
      <c r="A17" s="1" t="s">
        <v>11</v>
      </c>
      <c r="B17" s="1">
        <v>30.6</v>
      </c>
      <c r="C17" s="1">
        <v>20.6</v>
      </c>
      <c r="D17" s="1">
        <v>22.1</v>
      </c>
      <c r="E17" s="1">
        <v>29.9</v>
      </c>
      <c r="F17" s="1">
        <v>18.399999999999999</v>
      </c>
      <c r="G17" s="1">
        <v>31.1</v>
      </c>
      <c r="H17" s="1">
        <v>26.4</v>
      </c>
      <c r="L17" s="1">
        <v>24.2</v>
      </c>
      <c r="M17" s="1">
        <v>18.8</v>
      </c>
      <c r="N17" s="1">
        <v>18.2</v>
      </c>
      <c r="O17" s="1">
        <v>20.6</v>
      </c>
      <c r="P17" s="1">
        <f>(21+13.8)/2</f>
        <v>17.399999999999999</v>
      </c>
      <c r="Q17" s="1">
        <f>(25+22)/2</f>
        <v>23.5</v>
      </c>
      <c r="R17" s="1">
        <f>(23+24)/2</f>
        <v>23.5</v>
      </c>
      <c r="S17" s="1">
        <f>(31+24)/2</f>
        <v>27.5</v>
      </c>
      <c r="T17" s="1">
        <f>(26+21)/2</f>
        <v>23.5</v>
      </c>
      <c r="U17" s="1">
        <f>(21+20)/2</f>
        <v>20.5</v>
      </c>
      <c r="V17" s="1">
        <f>(20+22)/2</f>
        <v>21</v>
      </c>
      <c r="W17" s="1">
        <v>15</v>
      </c>
      <c r="X17" s="1">
        <f>(18+15)/2</f>
        <v>16.5</v>
      </c>
      <c r="Y17" s="1">
        <f>(15+19)/2</f>
        <v>17</v>
      </c>
      <c r="Z17" s="1">
        <f>(20+20)/2</f>
        <v>20</v>
      </c>
      <c r="AA17" s="1">
        <f>(21+22)/2</f>
        <v>21.5</v>
      </c>
      <c r="AB17" s="1">
        <f>(19+20)/2</f>
        <v>19.5</v>
      </c>
      <c r="AC17" s="1">
        <f>(23+29)/2</f>
        <v>26</v>
      </c>
      <c r="AD17" s="1">
        <v>26</v>
      </c>
    </row>
    <row r="18" spans="1:30" x14ac:dyDescent="0.2">
      <c r="A18" s="1" t="s">
        <v>17</v>
      </c>
      <c r="C18" s="1">
        <v>43.8</v>
      </c>
      <c r="D18" s="1">
        <v>50</v>
      </c>
      <c r="E18" s="1">
        <v>38.700000000000003</v>
      </c>
      <c r="F18" s="1">
        <v>41.5</v>
      </c>
      <c r="G18" s="1">
        <v>40.9</v>
      </c>
      <c r="H18" s="1">
        <v>74.7</v>
      </c>
      <c r="L18" s="1">
        <v>29</v>
      </c>
      <c r="M18" s="1">
        <v>35.299999999999997</v>
      </c>
      <c r="N18" s="1">
        <v>35.799999999999997</v>
      </c>
      <c r="O18" s="1">
        <v>28.7</v>
      </c>
      <c r="P18" s="1">
        <f>(42+33.4)/2</f>
        <v>37.700000000000003</v>
      </c>
      <c r="Q18" s="1">
        <f>(35+32)/2</f>
        <v>33.5</v>
      </c>
      <c r="R18" s="1">
        <f>(23+33)/2</f>
        <v>28</v>
      </c>
      <c r="S18" s="1">
        <f>(39+39)/2</f>
        <v>39</v>
      </c>
      <c r="T18" s="1">
        <f>(40+28)/2</f>
        <v>34</v>
      </c>
      <c r="U18" s="1">
        <f>(24+19)/2</f>
        <v>21.5</v>
      </c>
      <c r="V18" s="1">
        <f>(15+18)/2</f>
        <v>16.5</v>
      </c>
      <c r="W18" s="1">
        <v>20</v>
      </c>
      <c r="X18" s="1">
        <f>(30+27)/2</f>
        <v>28.5</v>
      </c>
      <c r="Y18" s="1">
        <f>(23+25)/2</f>
        <v>24</v>
      </c>
      <c r="Z18" s="1">
        <f>(30+36)/2</f>
        <v>33</v>
      </c>
      <c r="AA18" s="1">
        <f>(33+32)/2</f>
        <v>32.5</v>
      </c>
      <c r="AB18" s="1">
        <f>(32+30)/2</f>
        <v>31</v>
      </c>
      <c r="AC18" s="1">
        <f>(36+24)/2</f>
        <v>30</v>
      </c>
      <c r="AD18" s="1">
        <v>27</v>
      </c>
    </row>
    <row r="19" spans="1:30" x14ac:dyDescent="0.2">
      <c r="A19" s="1" t="s">
        <v>38</v>
      </c>
      <c r="C19" s="1">
        <v>18.8</v>
      </c>
      <c r="D19" s="1">
        <v>24.8</v>
      </c>
      <c r="E19" s="1">
        <v>26.9</v>
      </c>
      <c r="F19" s="1">
        <v>18.2</v>
      </c>
      <c r="G19" s="1">
        <v>21.9</v>
      </c>
      <c r="H19" s="1">
        <v>15.2</v>
      </c>
    </row>
    <row r="20" spans="1:30" x14ac:dyDescent="0.2">
      <c r="A20" s="1" t="s">
        <v>19</v>
      </c>
      <c r="X20" s="1">
        <f>(24+25)/2</f>
        <v>24.5</v>
      </c>
      <c r="Y20" s="1">
        <f>(27+29)/2</f>
        <v>28</v>
      </c>
      <c r="Z20" s="1">
        <f>(34+29)/2</f>
        <v>31.5</v>
      </c>
      <c r="AA20" s="1">
        <f>(25+31)/2</f>
        <v>28</v>
      </c>
      <c r="AB20" s="1">
        <f>(26+30)/2</f>
        <v>28</v>
      </c>
      <c r="AC20" s="1">
        <f>(33+31)/2</f>
        <v>32</v>
      </c>
      <c r="AD20" s="1">
        <v>31</v>
      </c>
    </row>
    <row r="21" spans="1:30" x14ac:dyDescent="0.2">
      <c r="A21" s="1" t="s">
        <v>39</v>
      </c>
      <c r="H21" s="1">
        <v>58.3</v>
      </c>
    </row>
    <row r="22" spans="1:30" x14ac:dyDescent="0.2">
      <c r="A22" s="1" t="s">
        <v>4</v>
      </c>
      <c r="B22" s="1">
        <v>11.4</v>
      </c>
      <c r="C22" s="1">
        <v>18.899999999999999</v>
      </c>
      <c r="D22" s="1">
        <v>20.5</v>
      </c>
      <c r="E22" s="1">
        <v>25.2</v>
      </c>
      <c r="F22" s="1">
        <v>24</v>
      </c>
      <c r="G22" s="1">
        <v>25.6</v>
      </c>
      <c r="H22" s="1">
        <v>25.1</v>
      </c>
      <c r="L22" s="1">
        <v>8.5</v>
      </c>
      <c r="M22" s="1">
        <v>11.9</v>
      </c>
      <c r="N22" s="1">
        <v>15.5</v>
      </c>
      <c r="O22" s="1">
        <v>10.199999999999999</v>
      </c>
      <c r="P22" s="1">
        <f>(20+10.4)/2</f>
        <v>15.2</v>
      </c>
      <c r="Q22" s="1">
        <f>(26+21)/2</f>
        <v>23.5</v>
      </c>
      <c r="R22" s="1">
        <f>(23+24)/2</f>
        <v>23.5</v>
      </c>
      <c r="S22" s="1">
        <f>(30+21)/2</f>
        <v>25.5</v>
      </c>
      <c r="T22" s="1">
        <f>(22+18)/2</f>
        <v>20</v>
      </c>
      <c r="U22" s="1">
        <f>(14+17)/2</f>
        <v>15.5</v>
      </c>
      <c r="V22" s="1">
        <f>(16+19)/2</f>
        <v>17.5</v>
      </c>
      <c r="W22" s="1">
        <v>12</v>
      </c>
      <c r="X22" s="1">
        <f>(16+13)/2</f>
        <v>14.5</v>
      </c>
      <c r="Y22" s="1">
        <f>(19+19)/2</f>
        <v>19</v>
      </c>
      <c r="Z22" s="1">
        <f>(21+21)/2</f>
        <v>21</v>
      </c>
      <c r="AA22" s="1">
        <f>(22+21)/2</f>
        <v>21.5</v>
      </c>
      <c r="AB22" s="1">
        <f>(26+28)/2</f>
        <v>27</v>
      </c>
      <c r="AC22" s="1">
        <f>(26+28)/2</f>
        <v>27</v>
      </c>
      <c r="AD22" s="1">
        <v>28</v>
      </c>
    </row>
    <row r="23" spans="1:30" x14ac:dyDescent="0.2">
      <c r="A23" s="1" t="s">
        <v>6</v>
      </c>
      <c r="D23" s="1">
        <v>44</v>
      </c>
      <c r="E23" s="1">
        <v>36.5</v>
      </c>
      <c r="F23" s="1">
        <v>33.200000000000003</v>
      </c>
      <c r="G23" s="1">
        <v>36.299999999999997</v>
      </c>
      <c r="H23" s="1">
        <v>32.700000000000003</v>
      </c>
      <c r="L23" s="1">
        <v>24.5</v>
      </c>
      <c r="M23" s="1">
        <v>26.9</v>
      </c>
      <c r="N23" s="1">
        <v>24.9</v>
      </c>
      <c r="O23" s="1">
        <v>24.4</v>
      </c>
      <c r="P23" s="1">
        <f>(23+19.9)/2</f>
        <v>21.45</v>
      </c>
      <c r="Q23" s="1">
        <f>(21+18)/2</f>
        <v>19.5</v>
      </c>
      <c r="R23" s="1">
        <f>(18+19)/2</f>
        <v>18.5</v>
      </c>
      <c r="S23" s="1">
        <f>(21+19)/2</f>
        <v>20</v>
      </c>
      <c r="T23" s="1">
        <f>(19+17)/2</f>
        <v>18</v>
      </c>
      <c r="U23" s="1">
        <f>(21+20)/2</f>
        <v>20.5</v>
      </c>
      <c r="V23" s="1">
        <f>(18+14)/2</f>
        <v>16</v>
      </c>
      <c r="W23" s="1">
        <v>12</v>
      </c>
      <c r="X23" s="1">
        <f>(12+13)/2</f>
        <v>12.5</v>
      </c>
      <c r="Y23" s="1">
        <f>(12+13)/2</f>
        <v>12.5</v>
      </c>
      <c r="Z23" s="1">
        <f>(18+16)/2</f>
        <v>17</v>
      </c>
      <c r="AA23" s="1">
        <f>(20+16)/2</f>
        <v>18</v>
      </c>
      <c r="AB23" s="1">
        <f>(18+16)/2</f>
        <v>17</v>
      </c>
      <c r="AC23" s="1">
        <f>(24+25)/2</f>
        <v>24.5</v>
      </c>
      <c r="AD23" s="1">
        <v>24</v>
      </c>
    </row>
    <row r="24" spans="1:30" x14ac:dyDescent="0.2">
      <c r="A24" s="1" t="s">
        <v>8</v>
      </c>
      <c r="D24" s="1">
        <v>29.8</v>
      </c>
      <c r="E24" s="1">
        <v>13.6</v>
      </c>
      <c r="F24" s="1">
        <v>16.8</v>
      </c>
      <c r="G24" s="1">
        <v>19.399999999999999</v>
      </c>
      <c r="H24" s="1">
        <v>23.9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F042-41DF-1044-B887-8723C7138C9B}">
  <dimension ref="A1:C15"/>
  <sheetViews>
    <sheetView workbookViewId="0">
      <selection activeCell="B61" sqref="B61"/>
    </sheetView>
  </sheetViews>
  <sheetFormatPr baseColWidth="10" defaultRowHeight="16" x14ac:dyDescent="0.2"/>
  <cols>
    <col min="1" max="16384" width="10.83203125" style="1"/>
  </cols>
  <sheetData>
    <row r="1" spans="1:3" s="1" customFormat="1" x14ac:dyDescent="0.2">
      <c r="B1" s="1">
        <v>1991</v>
      </c>
      <c r="C1" s="1">
        <v>1996</v>
      </c>
    </row>
    <row r="2" spans="1:3" s="1" customFormat="1" x14ac:dyDescent="0.2">
      <c r="A2" s="1" t="s">
        <v>22</v>
      </c>
      <c r="B2" s="1">
        <v>0.84982210000000002</v>
      </c>
      <c r="C2" s="1">
        <v>0.87775060000000005</v>
      </c>
    </row>
    <row r="3" spans="1:3" s="1" customFormat="1" x14ac:dyDescent="0.2">
      <c r="A3" s="1" t="s">
        <v>5</v>
      </c>
      <c r="B3" s="1">
        <v>0.78024689999999997</v>
      </c>
      <c r="C3" s="1">
        <v>0.74157300000000004</v>
      </c>
    </row>
    <row r="4" spans="1:3" s="1" customFormat="1" x14ac:dyDescent="0.2">
      <c r="A4" s="1" t="s">
        <v>163</v>
      </c>
      <c r="B4" s="1">
        <v>0.95485770000000003</v>
      </c>
      <c r="C4" s="1">
        <v>0.88830260000000005</v>
      </c>
    </row>
    <row r="5" spans="1:3" s="1" customFormat="1" x14ac:dyDescent="0.2">
      <c r="A5" s="1" t="s">
        <v>13</v>
      </c>
      <c r="B5" s="1">
        <v>0.748</v>
      </c>
      <c r="C5" s="1">
        <v>0.75609760000000004</v>
      </c>
    </row>
    <row r="6" spans="1:3" s="1" customFormat="1" x14ac:dyDescent="0.2">
      <c r="A6" s="1" t="s">
        <v>9</v>
      </c>
      <c r="B6" s="1">
        <v>0.86399999999999999</v>
      </c>
      <c r="C6" s="1">
        <v>0.88911090000000004</v>
      </c>
    </row>
    <row r="7" spans="1:3" s="1" customFormat="1" x14ac:dyDescent="0.2">
      <c r="A7" s="1" t="s">
        <v>165</v>
      </c>
      <c r="B7" s="1">
        <v>0.82882880000000003</v>
      </c>
    </row>
    <row r="8" spans="1:3" s="1" customFormat="1" x14ac:dyDescent="0.2">
      <c r="A8" s="1" t="s">
        <v>166</v>
      </c>
      <c r="B8" s="1">
        <v>0.53393159999999995</v>
      </c>
      <c r="C8" s="1">
        <v>0.44936710000000002</v>
      </c>
    </row>
    <row r="9" spans="1:3" s="1" customFormat="1" x14ac:dyDescent="0.2">
      <c r="A9" s="1" t="s">
        <v>11</v>
      </c>
      <c r="B9" s="1">
        <v>0.86057070000000002</v>
      </c>
    </row>
    <row r="10" spans="1:3" s="1" customFormat="1" x14ac:dyDescent="0.2">
      <c r="A10" s="1" t="s">
        <v>18</v>
      </c>
      <c r="B10" s="1">
        <v>0.9244521</v>
      </c>
      <c r="C10" s="1">
        <v>0.93123029999999996</v>
      </c>
    </row>
    <row r="11" spans="1:3" s="1" customFormat="1" x14ac:dyDescent="0.2">
      <c r="A11" s="1" t="s">
        <v>4</v>
      </c>
      <c r="B11" s="1">
        <v>0.89729729999999996</v>
      </c>
    </row>
    <row r="12" spans="1:3" s="1" customFormat="1" x14ac:dyDescent="0.2">
      <c r="A12" s="1" t="s">
        <v>6</v>
      </c>
      <c r="B12" s="1">
        <v>0.8690909</v>
      </c>
    </row>
    <row r="13" spans="1:3" s="1" customFormat="1" x14ac:dyDescent="0.2">
      <c r="A13" s="1" t="s">
        <v>167</v>
      </c>
      <c r="B13" s="1">
        <v>0.66186500000000004</v>
      </c>
    </row>
    <row r="14" spans="1:3" s="1" customFormat="1" x14ac:dyDescent="0.2">
      <c r="A14" s="1" t="s">
        <v>168</v>
      </c>
      <c r="B14" s="1">
        <v>0.5</v>
      </c>
    </row>
    <row r="15" spans="1:3" s="1" customFormat="1" x14ac:dyDescent="0.2">
      <c r="A15" s="1" t="s">
        <v>164</v>
      </c>
      <c r="B15" s="1">
        <v>0.70332059999999996</v>
      </c>
    </row>
  </sheetData>
  <sortState xmlns:xlrd2="http://schemas.microsoft.com/office/spreadsheetml/2017/richdata2" ref="A2:C15">
    <sortCondition ref="A2:A15"/>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C10B-1958-204E-8B64-42F163F78C6F}">
  <dimension ref="A1:C15"/>
  <sheetViews>
    <sheetView workbookViewId="0">
      <selection activeCell="B61" sqref="B61"/>
    </sheetView>
  </sheetViews>
  <sheetFormatPr baseColWidth="10" defaultRowHeight="16" x14ac:dyDescent="0.2"/>
  <cols>
    <col min="1" max="16384" width="10.83203125" style="1"/>
  </cols>
  <sheetData>
    <row r="1" spans="1:3" s="1" customFormat="1" x14ac:dyDescent="0.2">
      <c r="B1" s="1">
        <v>1991</v>
      </c>
      <c r="C1" s="1">
        <v>1996</v>
      </c>
    </row>
    <row r="2" spans="1:3" s="1" customFormat="1" x14ac:dyDescent="0.2">
      <c r="A2" s="1" t="s">
        <v>22</v>
      </c>
      <c r="B2" s="1">
        <v>0.90106759999999997</v>
      </c>
      <c r="C2" s="1">
        <v>0.91320290000000004</v>
      </c>
    </row>
    <row r="3" spans="1:3" s="1" customFormat="1" x14ac:dyDescent="0.2">
      <c r="A3" s="1" t="s">
        <v>5</v>
      </c>
      <c r="B3" s="1">
        <v>0.86296300000000004</v>
      </c>
      <c r="C3" s="1">
        <v>0.85232739999999996</v>
      </c>
    </row>
    <row r="4" spans="1:3" s="1" customFormat="1" x14ac:dyDescent="0.2">
      <c r="A4" s="1" t="s">
        <v>163</v>
      </c>
      <c r="B4" s="1">
        <v>0.93032380000000003</v>
      </c>
      <c r="C4" s="1">
        <v>0.87686900000000001</v>
      </c>
    </row>
    <row r="5" spans="1:3" s="1" customFormat="1" x14ac:dyDescent="0.2">
      <c r="A5" s="1" t="s">
        <v>13</v>
      </c>
      <c r="B5" s="1">
        <v>0.91900000000000004</v>
      </c>
      <c r="C5" s="1">
        <v>0.86341460000000003</v>
      </c>
    </row>
    <row r="6" spans="1:3" s="1" customFormat="1" x14ac:dyDescent="0.2">
      <c r="A6" s="1" t="s">
        <v>9</v>
      </c>
      <c r="B6" s="1">
        <v>0.89600000000000002</v>
      </c>
      <c r="C6" s="1">
        <v>0.6953047</v>
      </c>
    </row>
    <row r="7" spans="1:3" s="1" customFormat="1" x14ac:dyDescent="0.2">
      <c r="A7" s="1" t="s">
        <v>165</v>
      </c>
      <c r="B7" s="1">
        <v>0.7940798</v>
      </c>
    </row>
    <row r="8" spans="1:3" s="1" customFormat="1" x14ac:dyDescent="0.2">
      <c r="A8" s="1" t="s">
        <v>166</v>
      </c>
      <c r="B8" s="1">
        <v>0.74929889999999999</v>
      </c>
      <c r="C8" s="1">
        <v>0.50379750000000001</v>
      </c>
    </row>
    <row r="9" spans="1:3" s="1" customFormat="1" x14ac:dyDescent="0.2">
      <c r="A9" s="1" t="s">
        <v>11</v>
      </c>
      <c r="B9" s="1">
        <v>0.85278860000000001</v>
      </c>
    </row>
    <row r="10" spans="1:3" s="1" customFormat="1" x14ac:dyDescent="0.2">
      <c r="A10" s="1" t="s">
        <v>18</v>
      </c>
      <c r="B10" s="1">
        <v>0.84140720000000002</v>
      </c>
      <c r="C10" s="1">
        <v>0.90788639999999998</v>
      </c>
    </row>
    <row r="11" spans="1:3" s="1" customFormat="1" x14ac:dyDescent="0.2">
      <c r="A11" s="1" t="s">
        <v>4</v>
      </c>
      <c r="B11" s="1">
        <v>0.89189189999999996</v>
      </c>
    </row>
    <row r="12" spans="1:3" s="1" customFormat="1" x14ac:dyDescent="0.2">
      <c r="A12" s="1" t="s">
        <v>6</v>
      </c>
      <c r="B12" s="1">
        <v>0.90472730000000001</v>
      </c>
    </row>
    <row r="13" spans="1:3" s="1" customFormat="1" x14ac:dyDescent="0.2">
      <c r="A13" s="1" t="s">
        <v>167</v>
      </c>
      <c r="B13" s="1">
        <v>0.8203184</v>
      </c>
    </row>
    <row r="14" spans="1:3" s="1" customFormat="1" x14ac:dyDescent="0.2">
      <c r="A14" s="1" t="s">
        <v>168</v>
      </c>
      <c r="B14" s="1">
        <v>0.55657710000000005</v>
      </c>
    </row>
    <row r="15" spans="1:3" s="1" customFormat="1" x14ac:dyDescent="0.2">
      <c r="A15" s="1" t="s">
        <v>164</v>
      </c>
      <c r="B15" s="1">
        <v>0.8366903</v>
      </c>
    </row>
  </sheetData>
  <sortState xmlns:xlrd2="http://schemas.microsoft.com/office/spreadsheetml/2017/richdata2" ref="A2:C15">
    <sortCondition ref="A2:A15"/>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6204-9D6B-DA4B-824F-996F5915B44D}">
  <dimension ref="A1:C15"/>
  <sheetViews>
    <sheetView workbookViewId="0">
      <selection activeCell="B61" sqref="B61"/>
    </sheetView>
  </sheetViews>
  <sheetFormatPr baseColWidth="10" defaultRowHeight="16" x14ac:dyDescent="0.2"/>
  <cols>
    <col min="1" max="16384" width="10.83203125" style="1"/>
  </cols>
  <sheetData>
    <row r="1" spans="1:3" s="1" customFormat="1" x14ac:dyDescent="0.2">
      <c r="B1" s="1">
        <v>1991</v>
      </c>
      <c r="C1" s="1">
        <v>1996</v>
      </c>
    </row>
    <row r="2" spans="1:3" s="1" customFormat="1" x14ac:dyDescent="0.2">
      <c r="A2" s="1" t="s">
        <v>22</v>
      </c>
      <c r="B2" s="1">
        <v>0.40427049999999998</v>
      </c>
      <c r="C2" s="1">
        <v>0.42848409999999998</v>
      </c>
    </row>
    <row r="3" spans="1:3" s="1" customFormat="1" x14ac:dyDescent="0.2">
      <c r="A3" s="1" t="s">
        <v>5</v>
      </c>
      <c r="B3" s="1">
        <v>0.262963</v>
      </c>
      <c r="C3" s="1">
        <v>0.21508830000000001</v>
      </c>
    </row>
    <row r="4" spans="1:3" s="1" customFormat="1" x14ac:dyDescent="0.2">
      <c r="A4" s="1" t="s">
        <v>163</v>
      </c>
      <c r="B4" s="1">
        <v>0.58586850000000001</v>
      </c>
      <c r="C4" s="1">
        <v>0.53034300000000001</v>
      </c>
    </row>
    <row r="5" spans="1:3" s="1" customFormat="1" x14ac:dyDescent="0.2">
      <c r="A5" s="1" t="s">
        <v>13</v>
      </c>
      <c r="B5" s="1">
        <v>0.30599999999999999</v>
      </c>
      <c r="C5" s="1">
        <v>0.29268290000000002</v>
      </c>
    </row>
    <row r="6" spans="1:3" s="1" customFormat="1" x14ac:dyDescent="0.2">
      <c r="A6" s="1" t="s">
        <v>9</v>
      </c>
      <c r="B6" s="1">
        <v>0.55600000000000005</v>
      </c>
      <c r="C6" s="1">
        <v>0.54945049999999995</v>
      </c>
    </row>
    <row r="7" spans="1:3" s="1" customFormat="1" x14ac:dyDescent="0.2">
      <c r="A7" s="1" t="s">
        <v>165</v>
      </c>
      <c r="B7" s="1">
        <v>0.32689829999999998</v>
      </c>
    </row>
    <row r="8" spans="1:3" s="1" customFormat="1" x14ac:dyDescent="0.2">
      <c r="A8" s="1" t="s">
        <v>166</v>
      </c>
      <c r="B8" s="1">
        <v>0.31856420000000002</v>
      </c>
      <c r="C8" s="1">
        <v>0.35063290000000003</v>
      </c>
    </row>
    <row r="9" spans="1:3" s="1" customFormat="1" x14ac:dyDescent="0.2">
      <c r="A9" s="1" t="s">
        <v>11</v>
      </c>
      <c r="B9" s="1">
        <v>0.44228269999999997</v>
      </c>
    </row>
    <row r="10" spans="1:3" s="1" customFormat="1" x14ac:dyDescent="0.2">
      <c r="A10" s="1" t="s">
        <v>18</v>
      </c>
      <c r="B10" s="1">
        <v>0.31430219999999998</v>
      </c>
      <c r="C10" s="1">
        <v>0.39495269999999999</v>
      </c>
    </row>
    <row r="11" spans="1:3" s="1" customFormat="1" x14ac:dyDescent="0.2">
      <c r="A11" s="1" t="s">
        <v>4</v>
      </c>
      <c r="B11" s="1">
        <v>0.35405409999999998</v>
      </c>
    </row>
    <row r="12" spans="1:3" s="1" customFormat="1" x14ac:dyDescent="0.2">
      <c r="A12" s="1" t="s">
        <v>6</v>
      </c>
      <c r="B12" s="1">
        <v>0.58254550000000005</v>
      </c>
    </row>
    <row r="13" spans="1:3" s="1" customFormat="1" x14ac:dyDescent="0.2">
      <c r="A13" s="1" t="s">
        <v>167</v>
      </c>
      <c r="B13" s="1">
        <v>0.3790751</v>
      </c>
    </row>
    <row r="14" spans="1:3" s="1" customFormat="1" x14ac:dyDescent="0.2">
      <c r="A14" s="1" t="s">
        <v>168</v>
      </c>
      <c r="B14" s="1">
        <v>0.16619519999999999</v>
      </c>
    </row>
    <row r="15" spans="1:3" s="1" customFormat="1" x14ac:dyDescent="0.2">
      <c r="A15" s="1" t="s">
        <v>164</v>
      </c>
      <c r="B15" s="1">
        <v>0.31573220000000002</v>
      </c>
    </row>
  </sheetData>
  <sortState xmlns:xlrd2="http://schemas.microsoft.com/office/spreadsheetml/2017/richdata2" ref="A2:C15">
    <sortCondition ref="A2:A15"/>
  </sortState>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71B6A-6196-C547-B288-7894E8AFBA69}">
  <dimension ref="A1:I18"/>
  <sheetViews>
    <sheetView workbookViewId="0">
      <selection activeCell="B61" sqref="B61"/>
    </sheetView>
  </sheetViews>
  <sheetFormatPr baseColWidth="10" defaultRowHeight="16" x14ac:dyDescent="0.2"/>
  <cols>
    <col min="1" max="16384" width="10.83203125" style="1"/>
  </cols>
  <sheetData>
    <row r="1" spans="1:9" s="1" customFormat="1" x14ac:dyDescent="0.2">
      <c r="A1" s="3"/>
      <c r="B1" s="1">
        <v>1995</v>
      </c>
      <c r="C1" s="1">
        <v>1996</v>
      </c>
      <c r="D1" s="1">
        <v>1997</v>
      </c>
      <c r="E1" s="1">
        <v>1998</v>
      </c>
      <c r="F1" s="1">
        <v>1999</v>
      </c>
      <c r="G1" s="1">
        <v>2000</v>
      </c>
      <c r="H1" s="1">
        <v>2001</v>
      </c>
      <c r="I1" s="1">
        <v>2002</v>
      </c>
    </row>
    <row r="2" spans="1:9" s="1" customFormat="1" x14ac:dyDescent="0.2">
      <c r="A2" s="1" t="s">
        <v>3</v>
      </c>
      <c r="B2" s="1">
        <v>71</v>
      </c>
    </row>
    <row r="3" spans="1:9" s="1" customFormat="1" x14ac:dyDescent="0.2">
      <c r="A3" s="1" t="s">
        <v>22</v>
      </c>
      <c r="B3" s="1">
        <v>69</v>
      </c>
    </row>
    <row r="4" spans="1:9" s="1" customFormat="1" x14ac:dyDescent="0.2">
      <c r="A4" s="1" t="s">
        <v>12</v>
      </c>
      <c r="B4" s="1">
        <v>50</v>
      </c>
      <c r="I4" s="1">
        <v>26</v>
      </c>
    </row>
    <row r="5" spans="1:9" s="1" customFormat="1" x14ac:dyDescent="0.2">
      <c r="A5" s="1" t="s">
        <v>37</v>
      </c>
      <c r="B5" s="1">
        <v>27</v>
      </c>
    </row>
    <row r="6" spans="1:9" s="1" customFormat="1" x14ac:dyDescent="0.2">
      <c r="A6" s="1" t="s">
        <v>13</v>
      </c>
      <c r="B6" s="1">
        <v>48.949074099999997</v>
      </c>
    </row>
    <row r="7" spans="1:9" s="1" customFormat="1" x14ac:dyDescent="0.2">
      <c r="A7" s="1" t="s">
        <v>9</v>
      </c>
      <c r="B7" s="1">
        <v>34</v>
      </c>
    </row>
    <row r="8" spans="1:9" s="1" customFormat="1" x14ac:dyDescent="0.2">
      <c r="A8" s="1" t="s">
        <v>20</v>
      </c>
      <c r="B8" s="1">
        <v>65.085251499999998</v>
      </c>
    </row>
    <row r="9" spans="1:9" s="1" customFormat="1" x14ac:dyDescent="0.2">
      <c r="A9" s="1" t="s">
        <v>21</v>
      </c>
      <c r="B9" s="1">
        <v>63.472413799999998</v>
      </c>
    </row>
    <row r="10" spans="1:9" s="1" customFormat="1" x14ac:dyDescent="0.2">
      <c r="A10" s="1" t="s">
        <v>24</v>
      </c>
      <c r="E10" s="1">
        <v>37</v>
      </c>
      <c r="G10" s="1">
        <v>16</v>
      </c>
      <c r="I10" s="1">
        <v>53</v>
      </c>
    </row>
    <row r="11" spans="1:9" s="1" customFormat="1" x14ac:dyDescent="0.2">
      <c r="A11" s="1" t="s">
        <v>11</v>
      </c>
      <c r="B11" s="1">
        <v>37</v>
      </c>
    </row>
    <row r="12" spans="1:9" s="1" customFormat="1" x14ac:dyDescent="0.2">
      <c r="A12" s="1" t="s">
        <v>17</v>
      </c>
      <c r="B12" s="1">
        <v>50</v>
      </c>
    </row>
    <row r="13" spans="1:9" s="1" customFormat="1" x14ac:dyDescent="0.2">
      <c r="A13" s="1" t="s">
        <v>38</v>
      </c>
      <c r="B13" s="1">
        <v>69</v>
      </c>
      <c r="G13" s="1">
        <v>70</v>
      </c>
    </row>
    <row r="14" spans="1:9" s="1" customFormat="1" x14ac:dyDescent="0.2">
      <c r="A14" s="1" t="s">
        <v>19</v>
      </c>
      <c r="E14" s="1">
        <v>40</v>
      </c>
      <c r="G14" s="1">
        <v>57</v>
      </c>
      <c r="I14" s="1">
        <v>47</v>
      </c>
    </row>
    <row r="15" spans="1:9" s="1" customFormat="1" x14ac:dyDescent="0.2">
      <c r="A15" s="1" t="s">
        <v>39</v>
      </c>
    </row>
    <row r="16" spans="1:9" s="1" customFormat="1" x14ac:dyDescent="0.2">
      <c r="A16" s="1" t="s">
        <v>4</v>
      </c>
      <c r="B16" s="1">
        <v>31</v>
      </c>
    </row>
    <row r="17" spans="1:2" s="1" customFormat="1" x14ac:dyDescent="0.2">
      <c r="A17" s="1" t="s">
        <v>6</v>
      </c>
      <c r="B17" s="1">
        <v>23</v>
      </c>
    </row>
    <row r="18" spans="1:2" s="1" customFormat="1" x14ac:dyDescent="0.2">
      <c r="A18" s="1" t="s">
        <v>8</v>
      </c>
      <c r="B18" s="1">
        <v>46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2B01-F890-3844-9030-7BB0277F29E7}">
  <dimension ref="A1:I17"/>
  <sheetViews>
    <sheetView workbookViewId="0">
      <selection activeCell="B61" sqref="B61"/>
    </sheetView>
  </sheetViews>
  <sheetFormatPr baseColWidth="10" defaultRowHeight="16" x14ac:dyDescent="0.2"/>
  <cols>
    <col min="1" max="16384" width="10.83203125" style="1"/>
  </cols>
  <sheetData>
    <row r="1" spans="1:9" x14ac:dyDescent="0.2">
      <c r="A1" s="3"/>
      <c r="B1" s="1">
        <v>1995</v>
      </c>
      <c r="C1" s="1">
        <v>1996</v>
      </c>
      <c r="D1" s="1">
        <v>1997</v>
      </c>
      <c r="E1" s="1">
        <v>1998</v>
      </c>
      <c r="F1" s="1">
        <v>1999</v>
      </c>
      <c r="G1" s="1">
        <v>2000</v>
      </c>
      <c r="H1" s="1">
        <v>2001</v>
      </c>
      <c r="I1" s="1">
        <v>2002</v>
      </c>
    </row>
    <row r="2" spans="1:9" x14ac:dyDescent="0.2">
      <c r="A2" s="1" t="s">
        <v>3</v>
      </c>
      <c r="B2" s="1">
        <v>57</v>
      </c>
    </row>
    <row r="3" spans="1:9" x14ac:dyDescent="0.2">
      <c r="A3" s="1" t="s">
        <v>22</v>
      </c>
      <c r="B3" s="1">
        <v>36</v>
      </c>
    </row>
    <row r="4" spans="1:9" x14ac:dyDescent="0.2">
      <c r="A4" s="1" t="s">
        <v>12</v>
      </c>
      <c r="B4" s="1">
        <v>25</v>
      </c>
      <c r="I4" s="1">
        <v>5</v>
      </c>
    </row>
    <row r="5" spans="1:9" x14ac:dyDescent="0.2">
      <c r="A5" s="1" t="s">
        <v>37</v>
      </c>
      <c r="B5" s="1">
        <v>10</v>
      </c>
    </row>
    <row r="6" spans="1:9" x14ac:dyDescent="0.2">
      <c r="A6" s="1" t="s">
        <v>13</v>
      </c>
      <c r="B6" s="1">
        <f>(651*23+645*54)/(651+645)</f>
        <v>38.42824074074074</v>
      </c>
    </row>
    <row r="7" spans="1:9" x14ac:dyDescent="0.2">
      <c r="A7" s="1" t="s">
        <v>9</v>
      </c>
      <c r="B7" s="1">
        <v>16</v>
      </c>
    </row>
    <row r="8" spans="1:9" x14ac:dyDescent="0.2">
      <c r="A8" s="1" t="s">
        <v>20</v>
      </c>
      <c r="B8" s="1">
        <f>(656*55+517*60)/(656+517)</f>
        <v>57.203751065643651</v>
      </c>
    </row>
    <row r="9" spans="1:9" x14ac:dyDescent="0.2">
      <c r="A9" s="1" t="s">
        <v>21</v>
      </c>
      <c r="B9" s="1">
        <f>(631*46+239*59)/(631+239)</f>
        <v>49.571264367816092</v>
      </c>
    </row>
    <row r="10" spans="1:9" x14ac:dyDescent="0.2">
      <c r="A10" s="1" t="s">
        <v>24</v>
      </c>
      <c r="E10" s="1">
        <v>15</v>
      </c>
      <c r="I10" s="1">
        <v>12</v>
      </c>
    </row>
    <row r="11" spans="1:9" x14ac:dyDescent="0.2">
      <c r="A11" s="1" t="s">
        <v>11</v>
      </c>
      <c r="B11" s="1">
        <v>19</v>
      </c>
    </row>
    <row r="12" spans="1:9" x14ac:dyDescent="0.2">
      <c r="A12" s="1" t="s">
        <v>17</v>
      </c>
      <c r="B12" s="1">
        <v>41</v>
      </c>
    </row>
    <row r="13" spans="1:9" x14ac:dyDescent="0.2">
      <c r="A13" s="1" t="s">
        <v>38</v>
      </c>
      <c r="B13" s="1">
        <v>59</v>
      </c>
      <c r="G13" s="1">
        <v>56</v>
      </c>
    </row>
    <row r="14" spans="1:9" x14ac:dyDescent="0.2">
      <c r="A14" s="1" t="s">
        <v>19</v>
      </c>
      <c r="E14" s="1">
        <v>7</v>
      </c>
      <c r="G14" s="1">
        <v>30</v>
      </c>
      <c r="I14" s="1">
        <v>10</v>
      </c>
    </row>
    <row r="15" spans="1:9" x14ac:dyDescent="0.2">
      <c r="A15" s="1" t="s">
        <v>4</v>
      </c>
      <c r="B15" s="1">
        <v>12</v>
      </c>
    </row>
    <row r="16" spans="1:9" x14ac:dyDescent="0.2">
      <c r="A16" s="1" t="s">
        <v>6</v>
      </c>
      <c r="B16" s="1">
        <v>13</v>
      </c>
    </row>
    <row r="17" spans="1:2" x14ac:dyDescent="0.2">
      <c r="A17" s="1" t="s">
        <v>8</v>
      </c>
      <c r="B17" s="1">
        <v>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2A6C-31C6-F34D-9E36-EBE633004FF1}">
  <dimension ref="A1:I17"/>
  <sheetViews>
    <sheetView workbookViewId="0">
      <selection activeCell="B61" sqref="B61"/>
    </sheetView>
  </sheetViews>
  <sheetFormatPr baseColWidth="10" defaultRowHeight="16" x14ac:dyDescent="0.2"/>
  <cols>
    <col min="1" max="16384" width="10.83203125" style="1"/>
  </cols>
  <sheetData>
    <row r="1" spans="1:9" x14ac:dyDescent="0.2">
      <c r="A1" s="3"/>
      <c r="B1" s="1">
        <v>1995</v>
      </c>
      <c r="C1" s="1">
        <v>1996</v>
      </c>
      <c r="D1" s="1">
        <v>1997</v>
      </c>
      <c r="E1" s="1">
        <v>1998</v>
      </c>
      <c r="F1" s="1">
        <v>1999</v>
      </c>
      <c r="G1" s="1">
        <v>2000</v>
      </c>
      <c r="H1" s="1">
        <v>2001</v>
      </c>
      <c r="I1" s="1">
        <v>2002</v>
      </c>
    </row>
    <row r="2" spans="1:9" x14ac:dyDescent="0.2">
      <c r="A2" s="1" t="s">
        <v>3</v>
      </c>
      <c r="B2" s="1">
        <v>22</v>
      </c>
    </row>
    <row r="3" spans="1:9" x14ac:dyDescent="0.2">
      <c r="A3" s="1" t="s">
        <v>22</v>
      </c>
      <c r="B3" s="1">
        <v>33</v>
      </c>
    </row>
    <row r="4" spans="1:9" x14ac:dyDescent="0.2">
      <c r="A4" s="1" t="s">
        <v>12</v>
      </c>
      <c r="B4" s="1">
        <v>14</v>
      </c>
      <c r="I4" s="1">
        <v>7</v>
      </c>
    </row>
    <row r="5" spans="1:9" x14ac:dyDescent="0.2">
      <c r="A5" s="1" t="s">
        <v>37</v>
      </c>
      <c r="B5" s="1">
        <v>9</v>
      </c>
    </row>
    <row r="6" spans="1:9" x14ac:dyDescent="0.2">
      <c r="A6" s="1" t="s">
        <v>13</v>
      </c>
      <c r="B6" s="1">
        <f>(651*6+645*18)/(651+645)</f>
        <v>11.972222222222221</v>
      </c>
    </row>
    <row r="7" spans="1:9" x14ac:dyDescent="0.2">
      <c r="A7" s="1" t="s">
        <v>9</v>
      </c>
      <c r="B7" s="1">
        <v>12</v>
      </c>
    </row>
    <row r="8" spans="1:9" x14ac:dyDescent="0.2">
      <c r="A8" s="1" t="s">
        <v>20</v>
      </c>
      <c r="B8" s="1">
        <f>(656*19+517*25)/(656+517)</f>
        <v>21.644501278772378</v>
      </c>
    </row>
    <row r="9" spans="1:9" x14ac:dyDescent="0.2">
      <c r="A9" s="1" t="s">
        <v>21</v>
      </c>
      <c r="B9" s="1">
        <f>(631*15+239*21)/(631+239)</f>
        <v>16.648275862068967</v>
      </c>
    </row>
    <row r="10" spans="1:9" x14ac:dyDescent="0.2">
      <c r="A10" s="1" t="s">
        <v>24</v>
      </c>
      <c r="E10" s="1">
        <v>22</v>
      </c>
      <c r="G10" s="1">
        <v>5</v>
      </c>
      <c r="I10" s="1">
        <v>20</v>
      </c>
    </row>
    <row r="11" spans="1:9" x14ac:dyDescent="0.2">
      <c r="A11" s="1" t="s">
        <v>11</v>
      </c>
      <c r="B11" s="1">
        <v>18</v>
      </c>
    </row>
    <row r="12" spans="1:9" x14ac:dyDescent="0.2">
      <c r="A12" s="1" t="s">
        <v>17</v>
      </c>
      <c r="B12" s="1">
        <v>26</v>
      </c>
    </row>
    <row r="13" spans="1:9" x14ac:dyDescent="0.2">
      <c r="A13" s="1" t="s">
        <v>38</v>
      </c>
      <c r="B13" s="1">
        <v>30</v>
      </c>
      <c r="G13" s="1">
        <v>21</v>
      </c>
    </row>
    <row r="14" spans="1:9" x14ac:dyDescent="0.2">
      <c r="A14" s="1" t="s">
        <v>19</v>
      </c>
      <c r="E14" s="1">
        <v>12</v>
      </c>
      <c r="G14" s="1">
        <v>30</v>
      </c>
      <c r="I14" s="1">
        <v>18</v>
      </c>
    </row>
    <row r="15" spans="1:9" x14ac:dyDescent="0.2">
      <c r="A15" s="1" t="s">
        <v>4</v>
      </c>
      <c r="B15" s="1">
        <v>6</v>
      </c>
    </row>
    <row r="16" spans="1:9" x14ac:dyDescent="0.2">
      <c r="A16" s="1" t="s">
        <v>6</v>
      </c>
      <c r="B16" s="1">
        <v>7</v>
      </c>
    </row>
    <row r="17" spans="1:2" x14ac:dyDescent="0.2">
      <c r="A17" s="1" t="s">
        <v>8</v>
      </c>
      <c r="B17" s="1">
        <v>42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21B7-543B-B746-AE6B-4A17AC7C5E17}">
  <dimension ref="A1:L30"/>
  <sheetViews>
    <sheetView workbookViewId="0">
      <selection activeCell="B61" sqref="B61"/>
    </sheetView>
  </sheetViews>
  <sheetFormatPr baseColWidth="10" defaultRowHeight="16" x14ac:dyDescent="0.2"/>
  <cols>
    <col min="1" max="16384" width="10.83203125" style="1"/>
  </cols>
  <sheetData>
    <row r="1" spans="1:12" s="1" customFormat="1" x14ac:dyDescent="0.2">
      <c r="B1" s="1">
        <v>2006</v>
      </c>
      <c r="C1" s="1">
        <v>2007</v>
      </c>
      <c r="D1" s="1">
        <v>2008</v>
      </c>
      <c r="E1" s="1">
        <v>2009</v>
      </c>
      <c r="F1" s="1">
        <v>2010</v>
      </c>
      <c r="G1" s="1">
        <v>2011</v>
      </c>
      <c r="H1" s="1">
        <v>2012</v>
      </c>
      <c r="I1" s="1">
        <v>2013</v>
      </c>
      <c r="J1" s="1">
        <v>2014</v>
      </c>
      <c r="K1" s="1">
        <v>2015</v>
      </c>
      <c r="L1" s="1">
        <v>2016</v>
      </c>
    </row>
    <row r="2" spans="1:12" s="1" customFormat="1" x14ac:dyDescent="0.2">
      <c r="A2" s="1" t="s">
        <v>27</v>
      </c>
      <c r="B2" s="1">
        <v>43.88</v>
      </c>
      <c r="F2" s="1">
        <v>38.630000000000003</v>
      </c>
      <c r="L2" s="1">
        <v>48.05</v>
      </c>
    </row>
    <row r="3" spans="1:12" s="1" customFormat="1" x14ac:dyDescent="0.2">
      <c r="A3" s="1" t="s">
        <v>23</v>
      </c>
      <c r="B3" s="1">
        <v>25.61</v>
      </c>
      <c r="F3" s="1">
        <v>21.88</v>
      </c>
      <c r="L3" s="1">
        <v>30.74</v>
      </c>
    </row>
    <row r="4" spans="1:12" s="1" customFormat="1" x14ac:dyDescent="0.2">
      <c r="A4" s="1" t="s">
        <v>29</v>
      </c>
      <c r="B4" s="1">
        <v>25.88</v>
      </c>
      <c r="F4" s="1">
        <v>42.22</v>
      </c>
      <c r="L4" s="1">
        <v>53.26</v>
      </c>
    </row>
    <row r="5" spans="1:12" s="1" customFormat="1" x14ac:dyDescent="0.2">
      <c r="A5" s="1" t="s">
        <v>3</v>
      </c>
      <c r="B5" s="1">
        <v>66.89</v>
      </c>
      <c r="F5" s="1">
        <v>50.79</v>
      </c>
      <c r="L5" s="1">
        <v>41.36</v>
      </c>
    </row>
    <row r="6" spans="1:12" s="1" customFormat="1" x14ac:dyDescent="0.2">
      <c r="A6" s="1" t="s">
        <v>36</v>
      </c>
      <c r="B6" s="1">
        <v>27.95</v>
      </c>
      <c r="F6" s="1">
        <v>32.74</v>
      </c>
      <c r="L6" s="1">
        <v>40.69</v>
      </c>
    </row>
    <row r="7" spans="1:12" s="1" customFormat="1" x14ac:dyDescent="0.2">
      <c r="A7" s="1" t="s">
        <v>22</v>
      </c>
      <c r="B7" s="1">
        <v>29.11</v>
      </c>
      <c r="F7" s="1">
        <v>33.520000000000003</v>
      </c>
      <c r="L7" s="1">
        <v>37.75</v>
      </c>
    </row>
    <row r="8" spans="1:12" s="1" customFormat="1" x14ac:dyDescent="0.2">
      <c r="A8" s="1" t="s">
        <v>12</v>
      </c>
      <c r="B8" s="1">
        <v>54.95</v>
      </c>
      <c r="F8" s="1">
        <v>47.9</v>
      </c>
      <c r="L8" s="1">
        <v>56.11</v>
      </c>
    </row>
    <row r="9" spans="1:12" s="1" customFormat="1" x14ac:dyDescent="0.2">
      <c r="A9" s="1" t="s">
        <v>37</v>
      </c>
      <c r="B9" s="1">
        <v>54</v>
      </c>
      <c r="F9" s="1">
        <v>54</v>
      </c>
    </row>
    <row r="10" spans="1:12" s="1" customFormat="1" x14ac:dyDescent="0.2">
      <c r="A10" s="1" t="s">
        <v>13</v>
      </c>
      <c r="B10" s="1">
        <v>64.72</v>
      </c>
      <c r="F10" s="1">
        <v>53.82</v>
      </c>
      <c r="L10" s="1">
        <v>71.069999999999993</v>
      </c>
    </row>
    <row r="11" spans="1:12" s="1" customFormat="1" x14ac:dyDescent="0.2">
      <c r="A11" s="1" t="s">
        <v>26</v>
      </c>
      <c r="B11" s="1">
        <v>22.17</v>
      </c>
      <c r="F11" s="1">
        <v>24.74</v>
      </c>
      <c r="L11" s="1">
        <v>41.82</v>
      </c>
    </row>
    <row r="12" spans="1:12" s="1" customFormat="1" x14ac:dyDescent="0.2">
      <c r="A12" s="1" t="s">
        <v>9</v>
      </c>
      <c r="B12" s="1">
        <v>25.7</v>
      </c>
      <c r="F12" s="1">
        <v>18.93</v>
      </c>
      <c r="L12" s="1">
        <v>33.119999999999997</v>
      </c>
    </row>
    <row r="13" spans="1:12" s="1" customFormat="1" x14ac:dyDescent="0.2">
      <c r="A13" s="1" t="s">
        <v>7</v>
      </c>
      <c r="B13" s="1">
        <v>52.88</v>
      </c>
      <c r="F13" s="1">
        <v>51.88</v>
      </c>
      <c r="L13" s="1">
        <v>66.62</v>
      </c>
    </row>
    <row r="14" spans="1:12" s="1" customFormat="1" x14ac:dyDescent="0.2">
      <c r="A14" s="1" t="s">
        <v>10</v>
      </c>
      <c r="F14" s="1">
        <v>51.91</v>
      </c>
      <c r="L14" s="1">
        <v>42.89</v>
      </c>
    </row>
    <row r="15" spans="1:12" s="1" customFormat="1" x14ac:dyDescent="0.2">
      <c r="A15" s="1" t="s">
        <v>14</v>
      </c>
      <c r="B15" s="1">
        <v>58.76</v>
      </c>
      <c r="F15" s="1">
        <v>49.72</v>
      </c>
      <c r="L15" s="1">
        <v>75.48</v>
      </c>
    </row>
    <row r="16" spans="1:12" s="1" customFormat="1" x14ac:dyDescent="0.2">
      <c r="A16" s="1" t="s">
        <v>20</v>
      </c>
      <c r="B16" s="1">
        <v>54.23</v>
      </c>
      <c r="F16" s="1">
        <v>37.74</v>
      </c>
      <c r="L16" s="1">
        <v>64.13</v>
      </c>
    </row>
    <row r="17" spans="1:12" s="1" customFormat="1" x14ac:dyDescent="0.2">
      <c r="A17" s="1" t="s">
        <v>21</v>
      </c>
      <c r="B17" s="1">
        <v>52.43</v>
      </c>
      <c r="F17" s="1">
        <v>34.08</v>
      </c>
      <c r="L17" s="1">
        <v>55.47</v>
      </c>
    </row>
    <row r="18" spans="1:12" s="1" customFormat="1" x14ac:dyDescent="0.2">
      <c r="A18" s="1" t="s">
        <v>15</v>
      </c>
      <c r="B18" s="1">
        <v>26.74</v>
      </c>
      <c r="F18" s="1">
        <v>32.61</v>
      </c>
      <c r="L18" s="1">
        <v>35.07</v>
      </c>
    </row>
    <row r="19" spans="1:12" s="1" customFormat="1" x14ac:dyDescent="0.2">
      <c r="A19" s="1" t="s">
        <v>16</v>
      </c>
      <c r="B19" s="1">
        <v>27.92</v>
      </c>
      <c r="F19" s="1">
        <v>30.28</v>
      </c>
      <c r="L19" s="1">
        <v>24.02</v>
      </c>
    </row>
    <row r="20" spans="1:12" s="1" customFormat="1" x14ac:dyDescent="0.2">
      <c r="A20" s="1" t="s">
        <v>24</v>
      </c>
      <c r="B20" s="1">
        <v>28.8</v>
      </c>
      <c r="F20" s="1">
        <v>42.52</v>
      </c>
      <c r="L20" s="1">
        <v>46.47</v>
      </c>
    </row>
    <row r="21" spans="1:12" s="1" customFormat="1" x14ac:dyDescent="0.2">
      <c r="A21" s="1" t="s">
        <v>11</v>
      </c>
      <c r="B21" s="1">
        <v>49.69</v>
      </c>
      <c r="F21" s="1">
        <v>55.81</v>
      </c>
      <c r="L21" s="1">
        <v>57.98</v>
      </c>
    </row>
    <row r="22" spans="1:12" s="1" customFormat="1" x14ac:dyDescent="0.2">
      <c r="A22" s="1" t="s">
        <v>17</v>
      </c>
      <c r="B22" s="1">
        <v>32.700000000000003</v>
      </c>
      <c r="F22" s="1">
        <v>18.190000000000001</v>
      </c>
      <c r="L22" s="1">
        <v>44.86</v>
      </c>
    </row>
    <row r="23" spans="1:12" s="1" customFormat="1" x14ac:dyDescent="0.2">
      <c r="A23" s="1" t="s">
        <v>38</v>
      </c>
      <c r="B23" s="1">
        <v>44.38</v>
      </c>
      <c r="F23" s="1">
        <v>43.44</v>
      </c>
      <c r="L23" s="1">
        <v>31.47</v>
      </c>
    </row>
    <row r="24" spans="1:12" s="1" customFormat="1" x14ac:dyDescent="0.2">
      <c r="A24" s="1" t="s">
        <v>19</v>
      </c>
      <c r="B24" s="1">
        <v>26.06</v>
      </c>
      <c r="F24" s="1">
        <v>30</v>
      </c>
      <c r="L24" s="1">
        <v>45.23</v>
      </c>
    </row>
    <row r="25" spans="1:12" s="1" customFormat="1" x14ac:dyDescent="0.2">
      <c r="A25" s="1" t="s">
        <v>4</v>
      </c>
      <c r="B25" s="1">
        <v>58.45</v>
      </c>
      <c r="F25" s="1">
        <v>52.33</v>
      </c>
      <c r="L25" s="1">
        <v>50.03</v>
      </c>
    </row>
    <row r="26" spans="1:12" s="1" customFormat="1" x14ac:dyDescent="0.2">
      <c r="A26" s="1" t="s">
        <v>6</v>
      </c>
      <c r="B26" s="1">
        <v>71.55</v>
      </c>
      <c r="F26" s="1">
        <v>60.54</v>
      </c>
      <c r="L26" s="1">
        <v>69.209999999999994</v>
      </c>
    </row>
    <row r="27" spans="1:12" s="1" customFormat="1" x14ac:dyDescent="0.2">
      <c r="A27" s="1" t="s">
        <v>28</v>
      </c>
      <c r="B27" s="1">
        <v>67.739999999999995</v>
      </c>
      <c r="F27" s="1">
        <v>73.14</v>
      </c>
      <c r="L27" s="1">
        <v>75.5</v>
      </c>
    </row>
    <row r="28" spans="1:12" s="1" customFormat="1" x14ac:dyDescent="0.2">
      <c r="A28" s="1" t="s">
        <v>32</v>
      </c>
      <c r="G28" s="1">
        <v>56</v>
      </c>
      <c r="K28" s="1">
        <v>60</v>
      </c>
    </row>
    <row r="29" spans="1:12" s="1" customFormat="1" x14ac:dyDescent="0.2">
      <c r="A29" s="1" t="s">
        <v>8</v>
      </c>
      <c r="B29" s="1">
        <v>37.409999999999997</v>
      </c>
      <c r="F29" s="1">
        <v>30.06</v>
      </c>
      <c r="L29" s="1">
        <v>26.16</v>
      </c>
    </row>
    <row r="30" spans="1:12" s="1" customFormat="1" x14ac:dyDescent="0.2">
      <c r="A30" s="1" t="s">
        <v>33</v>
      </c>
      <c r="B30" s="1">
        <v>68.510000000000005</v>
      </c>
      <c r="F30" s="1">
        <v>66.209999999999994</v>
      </c>
      <c r="L30" s="1">
        <v>92.67</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47599-B876-2A46-B346-C83B9258988D}">
  <dimension ref="A1:T34"/>
  <sheetViews>
    <sheetView workbookViewId="0">
      <selection activeCell="B61" sqref="B61"/>
    </sheetView>
  </sheetViews>
  <sheetFormatPr baseColWidth="10" defaultRowHeight="16" x14ac:dyDescent="0.2"/>
  <cols>
    <col min="1" max="16384" width="10.83203125" style="1"/>
  </cols>
  <sheetData>
    <row r="1" spans="1:20" s="1" customFormat="1" x14ac:dyDescent="0.2">
      <c r="B1" s="1">
        <v>2000</v>
      </c>
      <c r="C1" s="1">
        <v>2001</v>
      </c>
      <c r="D1" s="1">
        <v>2002</v>
      </c>
      <c r="E1" s="1">
        <v>2003</v>
      </c>
      <c r="F1" s="1">
        <v>2004</v>
      </c>
      <c r="G1" s="1">
        <v>2005</v>
      </c>
      <c r="H1" s="1">
        <v>2006</v>
      </c>
      <c r="I1" s="1">
        <v>2007</v>
      </c>
      <c r="J1" s="1">
        <v>2008</v>
      </c>
      <c r="K1" s="1">
        <v>2009</v>
      </c>
      <c r="L1" s="1">
        <v>2010</v>
      </c>
      <c r="M1" s="1">
        <v>2011</v>
      </c>
      <c r="N1" s="1">
        <v>2012</v>
      </c>
      <c r="O1" s="1">
        <v>2013</v>
      </c>
      <c r="P1" s="1">
        <v>2014</v>
      </c>
      <c r="Q1" s="1">
        <v>2015</v>
      </c>
      <c r="R1" s="1">
        <v>2016</v>
      </c>
      <c r="S1" s="1">
        <v>2017</v>
      </c>
      <c r="T1" s="1">
        <v>2018</v>
      </c>
    </row>
    <row r="2" spans="1:20" s="1" customFormat="1" x14ac:dyDescent="0.2">
      <c r="A2" s="1" t="s">
        <v>27</v>
      </c>
      <c r="P2" s="1">
        <v>58</v>
      </c>
      <c r="Q2" s="1">
        <v>62.5</v>
      </c>
      <c r="R2" s="1">
        <v>59</v>
      </c>
      <c r="S2" s="1">
        <v>63</v>
      </c>
      <c r="T2" s="1">
        <v>70</v>
      </c>
    </row>
    <row r="3" spans="1:20" s="1" customFormat="1" x14ac:dyDescent="0.2">
      <c r="A3" s="1" t="s">
        <v>22</v>
      </c>
      <c r="B3" s="1">
        <v>35.57114</v>
      </c>
      <c r="C3" s="1">
        <v>33.6</v>
      </c>
      <c r="D3" s="1">
        <v>31.6</v>
      </c>
      <c r="E3" s="1">
        <v>28.4</v>
      </c>
      <c r="F3" s="1">
        <v>32</v>
      </c>
      <c r="G3" s="1">
        <v>29</v>
      </c>
      <c r="H3" s="1">
        <v>30.5</v>
      </c>
      <c r="I3" s="1">
        <v>37</v>
      </c>
      <c r="J3" s="1">
        <v>39</v>
      </c>
      <c r="K3" s="1">
        <v>39</v>
      </c>
      <c r="L3" s="1">
        <v>38</v>
      </c>
      <c r="M3" s="1">
        <v>37.5</v>
      </c>
      <c r="N3" s="1">
        <v>40</v>
      </c>
      <c r="O3" s="1">
        <v>34.5</v>
      </c>
      <c r="P3" s="1">
        <v>45</v>
      </c>
      <c r="Q3" s="1">
        <v>46</v>
      </c>
      <c r="R3" s="1">
        <v>48.5</v>
      </c>
      <c r="S3" s="1">
        <v>51</v>
      </c>
      <c r="T3" s="1">
        <v>47</v>
      </c>
    </row>
    <row r="4" spans="1:20" s="1" customFormat="1" x14ac:dyDescent="0.2">
      <c r="A4" s="1" t="s">
        <v>12</v>
      </c>
      <c r="F4" s="1">
        <v>70</v>
      </c>
      <c r="G4" s="1">
        <v>68.5</v>
      </c>
      <c r="H4" s="1">
        <v>70</v>
      </c>
      <c r="I4" s="1">
        <v>71</v>
      </c>
      <c r="J4" s="1">
        <v>68.5</v>
      </c>
      <c r="K4" s="1">
        <v>63</v>
      </c>
      <c r="L4" s="1">
        <v>68</v>
      </c>
      <c r="M4" s="1">
        <v>67</v>
      </c>
      <c r="N4" s="1">
        <v>67</v>
      </c>
      <c r="O4" s="1">
        <v>68.5</v>
      </c>
      <c r="P4" s="1">
        <v>66.5</v>
      </c>
      <c r="Q4" s="1">
        <v>72</v>
      </c>
      <c r="R4" s="1">
        <v>71</v>
      </c>
      <c r="S4" s="1">
        <v>68.5</v>
      </c>
      <c r="T4" s="1">
        <v>70</v>
      </c>
    </row>
    <row r="5" spans="1:20" s="1" customFormat="1" x14ac:dyDescent="0.2">
      <c r="A5" s="1" t="s">
        <v>37</v>
      </c>
      <c r="B5" s="1">
        <v>78.776979999999995</v>
      </c>
      <c r="C5" s="1">
        <v>74.2</v>
      </c>
      <c r="D5" s="1">
        <v>77.3</v>
      </c>
      <c r="E5" s="1">
        <v>72.25</v>
      </c>
      <c r="F5" s="1">
        <v>78</v>
      </c>
      <c r="G5" s="1">
        <v>82</v>
      </c>
      <c r="H5" s="1">
        <v>82</v>
      </c>
      <c r="I5" s="1">
        <v>81.5</v>
      </c>
      <c r="J5" s="1">
        <v>82.5</v>
      </c>
      <c r="K5" s="1">
        <v>82</v>
      </c>
      <c r="L5" s="1">
        <v>79.5</v>
      </c>
      <c r="M5" s="1">
        <v>79.5</v>
      </c>
      <c r="N5" s="1">
        <v>76.5</v>
      </c>
      <c r="O5" s="1">
        <v>81</v>
      </c>
      <c r="P5" s="1">
        <v>82</v>
      </c>
      <c r="Q5" s="1">
        <v>83</v>
      </c>
      <c r="R5" s="1">
        <v>86</v>
      </c>
      <c r="S5" s="1">
        <v>87</v>
      </c>
      <c r="T5" s="1">
        <v>87</v>
      </c>
    </row>
    <row r="6" spans="1:20" s="1" customFormat="1" x14ac:dyDescent="0.2">
      <c r="A6" s="1" t="s">
        <v>13</v>
      </c>
      <c r="B6" s="1">
        <v>49.44162</v>
      </c>
      <c r="C6" s="1">
        <v>51.587299999999999</v>
      </c>
      <c r="D6" s="1">
        <v>56.865839999999999</v>
      </c>
      <c r="E6" s="1">
        <v>55.8</v>
      </c>
      <c r="F6" s="1">
        <v>70</v>
      </c>
      <c r="G6" s="1">
        <v>69</v>
      </c>
      <c r="H6" s="1">
        <v>74</v>
      </c>
      <c r="I6" s="1">
        <v>78</v>
      </c>
      <c r="J6" s="1">
        <v>75</v>
      </c>
      <c r="K6" s="1">
        <v>73</v>
      </c>
      <c r="L6" s="1">
        <v>72.5</v>
      </c>
      <c r="M6" s="1">
        <v>70</v>
      </c>
      <c r="N6" s="1">
        <v>69.5</v>
      </c>
      <c r="O6" s="1">
        <v>72.5</v>
      </c>
      <c r="P6" s="1">
        <v>77.5</v>
      </c>
      <c r="Q6" s="1">
        <v>79.5</v>
      </c>
      <c r="R6" s="1">
        <v>80.5</v>
      </c>
      <c r="S6" s="1">
        <v>80.5</v>
      </c>
      <c r="T6" s="1">
        <v>83</v>
      </c>
    </row>
    <row r="7" spans="1:20" s="1" customFormat="1" x14ac:dyDescent="0.2">
      <c r="A7" s="1" t="s">
        <v>9</v>
      </c>
      <c r="B7" s="1">
        <v>58.019799999999996</v>
      </c>
      <c r="C7" s="1">
        <v>58.203119999999998</v>
      </c>
      <c r="D7" s="1">
        <v>61.558824999999999</v>
      </c>
      <c r="E7" s="1">
        <v>53.6</v>
      </c>
      <c r="F7" s="1">
        <v>50</v>
      </c>
      <c r="G7" s="1">
        <v>55</v>
      </c>
      <c r="H7" s="1">
        <v>52</v>
      </c>
      <c r="I7" s="1">
        <v>51.5</v>
      </c>
      <c r="J7" s="1">
        <v>46.5</v>
      </c>
      <c r="K7" s="1">
        <v>43</v>
      </c>
      <c r="L7" s="1">
        <v>50</v>
      </c>
      <c r="M7" s="1">
        <v>50</v>
      </c>
      <c r="N7" s="1">
        <v>45</v>
      </c>
      <c r="O7" s="1">
        <v>48</v>
      </c>
      <c r="P7" s="1">
        <v>63</v>
      </c>
      <c r="Q7" s="1">
        <v>66</v>
      </c>
      <c r="R7" s="1">
        <v>63.5</v>
      </c>
      <c r="S7" s="1">
        <v>68.5</v>
      </c>
      <c r="T7" s="1">
        <v>73</v>
      </c>
    </row>
    <row r="8" spans="1:20" s="1" customFormat="1" x14ac:dyDescent="0.2">
      <c r="A8" s="1" t="s">
        <v>20</v>
      </c>
      <c r="B8" s="1">
        <v>52.052050000000001</v>
      </c>
      <c r="C8" s="1">
        <v>55.3</v>
      </c>
      <c r="D8" s="1">
        <v>49.9</v>
      </c>
      <c r="E8" s="1">
        <v>54.15</v>
      </c>
      <c r="F8" s="1">
        <v>55</v>
      </c>
      <c r="G8" s="1">
        <v>60.5</v>
      </c>
      <c r="H8" s="1">
        <v>62.5</v>
      </c>
      <c r="I8" s="1">
        <v>65</v>
      </c>
      <c r="J8" s="1">
        <v>62.5</v>
      </c>
      <c r="K8" s="1">
        <v>55.5</v>
      </c>
      <c r="L8" s="1">
        <v>59</v>
      </c>
      <c r="M8" s="1">
        <v>61</v>
      </c>
      <c r="N8" s="1">
        <v>66</v>
      </c>
      <c r="O8" s="1">
        <v>67.5</v>
      </c>
      <c r="P8" s="1">
        <v>72</v>
      </c>
      <c r="Q8" s="1">
        <v>71.5</v>
      </c>
      <c r="R8" s="1">
        <v>74.5</v>
      </c>
      <c r="S8" s="1">
        <v>71.5</v>
      </c>
      <c r="T8" s="1">
        <v>75</v>
      </c>
    </row>
    <row r="9" spans="1:20" s="1" customFormat="1" x14ac:dyDescent="0.2">
      <c r="A9" s="1" t="s">
        <v>21</v>
      </c>
      <c r="B9" s="1">
        <v>40.286299999999997</v>
      </c>
      <c r="C9" s="1">
        <v>40</v>
      </c>
      <c r="D9" s="1">
        <v>57.224874999999997</v>
      </c>
      <c r="E9" s="1">
        <v>56.05</v>
      </c>
      <c r="F9" s="1">
        <v>54</v>
      </c>
      <c r="G9" s="1">
        <v>55.5</v>
      </c>
      <c r="H9" s="1">
        <v>61</v>
      </c>
      <c r="I9" s="1">
        <v>64</v>
      </c>
      <c r="J9" s="1">
        <v>59</v>
      </c>
      <c r="K9" s="1">
        <v>56</v>
      </c>
      <c r="L9" s="1">
        <v>53</v>
      </c>
      <c r="M9" s="1">
        <v>56.5</v>
      </c>
      <c r="N9" s="1">
        <v>63</v>
      </c>
      <c r="O9" s="1">
        <v>79</v>
      </c>
      <c r="P9" s="1">
        <v>70.5</v>
      </c>
      <c r="Q9" s="1">
        <v>74.5</v>
      </c>
      <c r="R9" s="1">
        <v>68</v>
      </c>
      <c r="S9" s="1">
        <v>69.5</v>
      </c>
      <c r="T9" s="1">
        <v>70</v>
      </c>
    </row>
    <row r="10" spans="1:20" s="1" customFormat="1" x14ac:dyDescent="0.2">
      <c r="A10" s="1" t="s">
        <v>15</v>
      </c>
      <c r="I10" s="1">
        <v>63</v>
      </c>
      <c r="J10" s="1">
        <v>63.5</v>
      </c>
      <c r="K10" s="1">
        <v>66.5</v>
      </c>
      <c r="L10" s="1">
        <v>61</v>
      </c>
      <c r="M10" s="1">
        <v>62.5</v>
      </c>
      <c r="N10" s="1">
        <v>63</v>
      </c>
      <c r="O10" s="1">
        <v>63</v>
      </c>
      <c r="P10" s="1">
        <v>68</v>
      </c>
      <c r="Q10" s="1">
        <v>62</v>
      </c>
      <c r="R10" s="1">
        <v>62</v>
      </c>
      <c r="S10" s="1">
        <v>66</v>
      </c>
      <c r="T10" s="1">
        <v>64</v>
      </c>
    </row>
    <row r="11" spans="1:20" s="1" customFormat="1" x14ac:dyDescent="0.2">
      <c r="A11" s="1" t="s">
        <v>24</v>
      </c>
      <c r="M11" s="1">
        <v>53.5</v>
      </c>
      <c r="N11" s="1">
        <v>43.5</v>
      </c>
      <c r="O11" s="1">
        <v>46.5</v>
      </c>
      <c r="P11" s="1">
        <v>63.5</v>
      </c>
      <c r="Q11" s="1">
        <v>59.5</v>
      </c>
      <c r="R11" s="1">
        <v>55.5</v>
      </c>
      <c r="S11" s="1">
        <v>65.5</v>
      </c>
      <c r="T11" s="1">
        <v>67</v>
      </c>
    </row>
    <row r="12" spans="1:20" s="1" customFormat="1" x14ac:dyDescent="0.2">
      <c r="A12" s="1" t="s">
        <v>11</v>
      </c>
      <c r="B12" s="1">
        <v>66.195760000000007</v>
      </c>
      <c r="C12" s="1">
        <v>63.9</v>
      </c>
      <c r="D12" s="1">
        <v>61.375</v>
      </c>
      <c r="E12" s="1">
        <v>65.2</v>
      </c>
      <c r="F12" s="1">
        <v>71</v>
      </c>
      <c r="G12" s="1">
        <v>69</v>
      </c>
      <c r="H12" s="1">
        <v>73</v>
      </c>
      <c r="I12" s="1">
        <v>76.5</v>
      </c>
      <c r="J12" s="1">
        <v>75.5</v>
      </c>
      <c r="K12" s="1">
        <v>75.5</v>
      </c>
      <c r="L12" s="1">
        <v>78.5</v>
      </c>
      <c r="M12" s="1">
        <v>75.5</v>
      </c>
      <c r="N12" s="1">
        <v>76.5</v>
      </c>
      <c r="O12" s="1">
        <v>75.5</v>
      </c>
      <c r="P12" s="1">
        <v>81.5</v>
      </c>
      <c r="Q12" s="1">
        <v>82.5</v>
      </c>
      <c r="R12" s="1">
        <v>82.5</v>
      </c>
      <c r="S12" s="1">
        <v>85</v>
      </c>
      <c r="T12" s="1">
        <v>87</v>
      </c>
    </row>
    <row r="13" spans="1:20" s="1" customFormat="1" x14ac:dyDescent="0.2">
      <c r="A13" s="1" t="s">
        <v>17</v>
      </c>
      <c r="B13" s="1">
        <v>36.263739999999999</v>
      </c>
      <c r="C13" s="1">
        <v>39.9</v>
      </c>
      <c r="D13" s="1">
        <v>43.193375000000003</v>
      </c>
      <c r="E13" s="1">
        <v>39.950000000000003</v>
      </c>
      <c r="F13" s="1">
        <v>48</v>
      </c>
      <c r="G13" s="1">
        <v>45.5</v>
      </c>
      <c r="H13" s="1">
        <v>45.5</v>
      </c>
      <c r="I13" s="1">
        <v>51</v>
      </c>
      <c r="J13" s="1">
        <v>50</v>
      </c>
      <c r="K13" s="1">
        <v>47</v>
      </c>
      <c r="L13" s="1">
        <v>41</v>
      </c>
      <c r="M13" s="1">
        <v>45</v>
      </c>
      <c r="N13" s="1">
        <v>46</v>
      </c>
      <c r="O13" s="1">
        <v>48</v>
      </c>
      <c r="P13" s="1">
        <v>55.5</v>
      </c>
      <c r="Q13" s="1">
        <v>58</v>
      </c>
      <c r="R13" s="1">
        <v>59</v>
      </c>
      <c r="S13" s="1">
        <v>57.5</v>
      </c>
      <c r="T13" s="1">
        <v>57</v>
      </c>
    </row>
    <row r="14" spans="1:20" s="1" customFormat="1" x14ac:dyDescent="0.2">
      <c r="A14" s="1" t="s">
        <v>19</v>
      </c>
      <c r="N14" s="1">
        <v>33.5</v>
      </c>
      <c r="O14" s="1">
        <v>38</v>
      </c>
      <c r="P14" s="1">
        <v>49.5</v>
      </c>
      <c r="Q14" s="1">
        <v>45</v>
      </c>
      <c r="R14" s="1">
        <v>45.5</v>
      </c>
      <c r="S14" s="1">
        <v>47.5</v>
      </c>
      <c r="T14" s="1">
        <v>48</v>
      </c>
    </row>
    <row r="15" spans="1:20" s="1" customFormat="1" x14ac:dyDescent="0.2">
      <c r="A15" s="1" t="s">
        <v>4</v>
      </c>
      <c r="B15" s="1">
        <v>49.082129999999999</v>
      </c>
      <c r="C15" s="1">
        <v>53.66337</v>
      </c>
      <c r="D15" s="1">
        <v>58.640860000000004</v>
      </c>
      <c r="E15" s="1">
        <v>57.45</v>
      </c>
      <c r="F15" s="1">
        <v>59</v>
      </c>
      <c r="G15" s="1">
        <v>63.5</v>
      </c>
      <c r="H15" s="1">
        <v>69</v>
      </c>
      <c r="I15" s="1">
        <v>70.5</v>
      </c>
      <c r="J15" s="1">
        <v>70.5</v>
      </c>
      <c r="K15" s="1">
        <v>70.5</v>
      </c>
      <c r="L15" s="1">
        <v>74.5</v>
      </c>
      <c r="M15" s="1">
        <v>71.5</v>
      </c>
      <c r="N15" s="1">
        <v>68</v>
      </c>
      <c r="O15" s="1">
        <v>66.5</v>
      </c>
      <c r="P15" s="1">
        <v>70</v>
      </c>
      <c r="Q15" s="1">
        <v>72</v>
      </c>
      <c r="R15" s="1">
        <v>75</v>
      </c>
      <c r="S15" s="1">
        <v>75.5</v>
      </c>
      <c r="T15" s="1">
        <v>74</v>
      </c>
    </row>
    <row r="16" spans="1:20" s="1" customFormat="1" x14ac:dyDescent="0.2">
      <c r="A16" s="1" t="s">
        <v>6</v>
      </c>
      <c r="B16" s="1">
        <v>81.626509999999996</v>
      </c>
      <c r="C16" s="1">
        <v>87.138580000000005</v>
      </c>
      <c r="D16" s="1">
        <v>87.160179999999997</v>
      </c>
      <c r="E16" s="1">
        <v>84.85</v>
      </c>
      <c r="F16" s="1">
        <v>90</v>
      </c>
      <c r="G16" s="1">
        <v>88.5</v>
      </c>
      <c r="H16" s="1">
        <v>88.5</v>
      </c>
      <c r="I16" s="1">
        <v>89</v>
      </c>
      <c r="J16" s="1">
        <v>87</v>
      </c>
      <c r="K16" s="1">
        <v>86</v>
      </c>
      <c r="L16" s="1">
        <v>85</v>
      </c>
      <c r="M16" s="1">
        <v>83</v>
      </c>
      <c r="N16" s="1">
        <v>85</v>
      </c>
      <c r="O16" s="1">
        <v>82</v>
      </c>
      <c r="P16" s="1">
        <v>82.5</v>
      </c>
      <c r="Q16" s="1">
        <v>84</v>
      </c>
      <c r="R16" s="1">
        <v>88.5</v>
      </c>
      <c r="S16" s="1">
        <v>91.5</v>
      </c>
      <c r="T16" s="1">
        <v>90</v>
      </c>
    </row>
    <row r="20" s="1" customFormat="1" x14ac:dyDescent="0.2"/>
    <row r="24" s="1" customFormat="1" x14ac:dyDescent="0.2"/>
    <row r="26"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F5FA-9913-6D45-B9CD-96AE2F954650}">
  <dimension ref="A1:AD10"/>
  <sheetViews>
    <sheetView workbookViewId="0">
      <selection activeCell="B61" sqref="B61"/>
    </sheetView>
  </sheetViews>
  <sheetFormatPr baseColWidth="10" defaultRowHeight="16" x14ac:dyDescent="0.2"/>
  <cols>
    <col min="1" max="16384" width="10.83203125" style="1"/>
  </cols>
  <sheetData>
    <row r="1" spans="1:30" x14ac:dyDescent="0.2">
      <c r="B1" s="1">
        <v>1991</v>
      </c>
      <c r="C1" s="1">
        <v>1992</v>
      </c>
      <c r="D1" s="1">
        <v>1993</v>
      </c>
      <c r="E1" s="1">
        <v>1994</v>
      </c>
      <c r="F1" s="1">
        <v>1995</v>
      </c>
      <c r="G1" s="1">
        <v>1996</v>
      </c>
      <c r="H1" s="1">
        <v>1997</v>
      </c>
      <c r="I1" s="1">
        <v>1998</v>
      </c>
      <c r="J1" s="1">
        <v>1999</v>
      </c>
      <c r="K1" s="1">
        <v>2000</v>
      </c>
      <c r="L1" s="1">
        <v>2001</v>
      </c>
      <c r="M1" s="1">
        <v>2002</v>
      </c>
      <c r="N1" s="1">
        <v>2003</v>
      </c>
      <c r="O1" s="1">
        <v>2004</v>
      </c>
      <c r="P1" s="1">
        <v>2005</v>
      </c>
      <c r="Q1" s="1">
        <v>2006</v>
      </c>
      <c r="R1" s="1">
        <v>2007</v>
      </c>
      <c r="S1" s="1">
        <v>2008</v>
      </c>
      <c r="T1" s="1">
        <v>2009</v>
      </c>
      <c r="U1" s="1">
        <v>2010</v>
      </c>
      <c r="V1" s="1">
        <v>2011</v>
      </c>
      <c r="W1" s="1">
        <v>2012</v>
      </c>
      <c r="X1" s="1">
        <v>2013</v>
      </c>
      <c r="Y1" s="1">
        <v>2014</v>
      </c>
      <c r="Z1" s="1">
        <v>2015</v>
      </c>
      <c r="AA1" s="1">
        <v>2016</v>
      </c>
      <c r="AB1" s="1">
        <v>2017</v>
      </c>
      <c r="AC1" s="1">
        <v>2018</v>
      </c>
      <c r="AD1" s="1">
        <v>2019</v>
      </c>
    </row>
    <row r="2" spans="1:30" x14ac:dyDescent="0.2">
      <c r="A2" s="1" t="s">
        <v>22</v>
      </c>
      <c r="B2" s="1">
        <v>4</v>
      </c>
      <c r="T2" s="1">
        <v>15</v>
      </c>
      <c r="AD2" s="1">
        <v>29</v>
      </c>
    </row>
    <row r="3" spans="1:30" x14ac:dyDescent="0.2">
      <c r="A3" s="1" t="s">
        <v>37</v>
      </c>
      <c r="B3" s="1">
        <v>23</v>
      </c>
      <c r="T3" s="1">
        <v>49</v>
      </c>
      <c r="AD3" s="1">
        <v>57</v>
      </c>
    </row>
    <row r="4" spans="1:30" x14ac:dyDescent="0.2">
      <c r="A4" s="1" t="s">
        <v>9</v>
      </c>
      <c r="B4" s="1">
        <v>8</v>
      </c>
      <c r="T4" s="1">
        <v>15</v>
      </c>
      <c r="AD4" s="1">
        <v>47</v>
      </c>
    </row>
    <row r="5" spans="1:30" x14ac:dyDescent="0.2">
      <c r="A5" s="1" t="s">
        <v>21</v>
      </c>
      <c r="B5" s="1">
        <v>13</v>
      </c>
      <c r="T5" s="1">
        <v>35</v>
      </c>
      <c r="AD5" s="1">
        <v>44</v>
      </c>
    </row>
    <row r="6" spans="1:30" x14ac:dyDescent="0.2">
      <c r="A6" s="1" t="s">
        <v>11</v>
      </c>
      <c r="B6" s="1">
        <v>12</v>
      </c>
      <c r="T6" s="1">
        <v>44</v>
      </c>
      <c r="AD6" s="1">
        <v>56</v>
      </c>
    </row>
    <row r="7" spans="1:30" x14ac:dyDescent="0.2">
      <c r="A7" s="1" t="s">
        <v>38</v>
      </c>
      <c r="B7" s="1">
        <v>7</v>
      </c>
      <c r="T7" s="1">
        <v>35</v>
      </c>
      <c r="AD7" s="1">
        <v>28</v>
      </c>
    </row>
    <row r="8" spans="1:30" x14ac:dyDescent="0.2">
      <c r="A8" s="1" t="s">
        <v>4</v>
      </c>
      <c r="B8" s="1">
        <v>13</v>
      </c>
      <c r="T8" s="1">
        <v>43</v>
      </c>
      <c r="AD8" s="1">
        <v>49</v>
      </c>
    </row>
    <row r="9" spans="1:30" x14ac:dyDescent="0.2">
      <c r="A9" s="1" t="s">
        <v>8</v>
      </c>
      <c r="B9" s="1">
        <v>8</v>
      </c>
      <c r="T9" s="1">
        <v>26</v>
      </c>
      <c r="AD9" s="1">
        <v>25</v>
      </c>
    </row>
    <row r="10" spans="1:30" x14ac:dyDescent="0.2">
      <c r="A10" s="1" t="s">
        <v>120</v>
      </c>
      <c r="B10" s="1">
        <v>15</v>
      </c>
      <c r="T10" s="1">
        <v>43</v>
      </c>
      <c r="AD10" s="1">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2C2F-D1D0-C24D-9301-0C3FB1FB6D93}">
  <dimension ref="A1:AV33"/>
  <sheetViews>
    <sheetView topLeftCell="A2" workbookViewId="0">
      <selection activeCell="B61" sqref="B61"/>
    </sheetView>
  </sheetViews>
  <sheetFormatPr baseColWidth="10" defaultRowHeight="16" x14ac:dyDescent="0.2"/>
  <cols>
    <col min="1" max="16384" width="10.83203125" style="1"/>
  </cols>
  <sheetData>
    <row r="1" spans="1:48" x14ac:dyDescent="0.2">
      <c r="B1" s="1">
        <v>1970</v>
      </c>
      <c r="C1" s="1">
        <v>1971</v>
      </c>
      <c r="D1" s="1">
        <v>1972</v>
      </c>
      <c r="E1" s="1">
        <v>1973</v>
      </c>
      <c r="F1" s="1">
        <v>1974</v>
      </c>
      <c r="G1" s="1">
        <v>1975</v>
      </c>
      <c r="H1" s="1">
        <v>1976</v>
      </c>
      <c r="I1" s="1">
        <v>1977</v>
      </c>
      <c r="J1" s="1">
        <v>1978</v>
      </c>
      <c r="K1" s="1">
        <v>1979</v>
      </c>
      <c r="L1" s="1">
        <v>1980</v>
      </c>
      <c r="M1" s="1">
        <v>1981</v>
      </c>
      <c r="N1" s="1">
        <v>1982</v>
      </c>
      <c r="O1" s="1">
        <v>1983</v>
      </c>
      <c r="P1" s="1">
        <v>1984</v>
      </c>
      <c r="Q1" s="1">
        <v>1985</v>
      </c>
      <c r="R1" s="1">
        <v>1986</v>
      </c>
      <c r="S1" s="1">
        <v>1987</v>
      </c>
      <c r="T1" s="1">
        <v>1988</v>
      </c>
      <c r="U1" s="1">
        <v>1989</v>
      </c>
      <c r="V1" s="1">
        <v>1990</v>
      </c>
      <c r="W1" s="1">
        <v>1991</v>
      </c>
      <c r="X1" s="1">
        <v>1992</v>
      </c>
      <c r="Y1" s="1">
        <v>1993</v>
      </c>
      <c r="Z1" s="1">
        <v>1994</v>
      </c>
      <c r="AA1" s="1">
        <v>1995</v>
      </c>
      <c r="AB1" s="1">
        <v>1996</v>
      </c>
      <c r="AC1" s="1">
        <v>1997</v>
      </c>
      <c r="AD1" s="1">
        <v>1998</v>
      </c>
      <c r="AE1" s="1">
        <v>1999</v>
      </c>
      <c r="AF1" s="1">
        <v>2000</v>
      </c>
      <c r="AG1" s="1">
        <v>2001</v>
      </c>
      <c r="AH1" s="1">
        <v>2002</v>
      </c>
      <c r="AI1" s="1">
        <v>2003</v>
      </c>
      <c r="AJ1" s="1">
        <v>2004</v>
      </c>
      <c r="AK1" s="1">
        <v>2005</v>
      </c>
      <c r="AL1" s="1">
        <v>2006</v>
      </c>
      <c r="AM1" s="1">
        <v>2007</v>
      </c>
      <c r="AN1" s="1">
        <v>2008</v>
      </c>
      <c r="AO1" s="1">
        <v>2009</v>
      </c>
      <c r="AP1" s="1">
        <v>2010</v>
      </c>
      <c r="AQ1" s="1">
        <v>2011</v>
      </c>
      <c r="AR1" s="1">
        <v>2012</v>
      </c>
      <c r="AS1" s="1">
        <v>2013</v>
      </c>
      <c r="AT1" s="1">
        <v>2014</v>
      </c>
      <c r="AU1" s="1">
        <v>2015</v>
      </c>
      <c r="AV1" s="1">
        <v>2016</v>
      </c>
    </row>
    <row r="2" spans="1:48" x14ac:dyDescent="0.2">
      <c r="A2" s="1" t="s">
        <v>27</v>
      </c>
      <c r="B2" s="9">
        <v>2140000000</v>
      </c>
      <c r="C2" s="9">
        <v>2220000000</v>
      </c>
      <c r="D2" s="9">
        <v>2310000000</v>
      </c>
      <c r="E2" s="9">
        <v>2400000000</v>
      </c>
      <c r="F2" s="9">
        <v>2500000000</v>
      </c>
      <c r="G2" s="9">
        <v>2600000000</v>
      </c>
      <c r="H2" s="9">
        <v>2700000000</v>
      </c>
      <c r="I2" s="9">
        <v>2820000000</v>
      </c>
      <c r="J2" s="9">
        <v>2930000000</v>
      </c>
      <c r="K2" s="9">
        <v>3020000000</v>
      </c>
      <c r="L2" s="9">
        <v>3200000000</v>
      </c>
      <c r="M2" s="9">
        <v>3290000000</v>
      </c>
      <c r="N2" s="9">
        <v>3330000000</v>
      </c>
      <c r="O2" s="9">
        <v>3520000000</v>
      </c>
      <c r="P2" s="9">
        <v>3630000000</v>
      </c>
      <c r="Q2" s="9">
        <v>3650000000</v>
      </c>
      <c r="R2" s="9">
        <v>3820000000</v>
      </c>
      <c r="S2" s="9">
        <v>3980000000</v>
      </c>
      <c r="T2" s="9">
        <v>3970000000</v>
      </c>
      <c r="U2" s="9">
        <v>4210000000</v>
      </c>
      <c r="V2" s="9">
        <v>4510000000</v>
      </c>
      <c r="W2" s="9">
        <v>3920000000</v>
      </c>
      <c r="X2" s="9">
        <v>4830000000</v>
      </c>
      <c r="Y2" s="9">
        <v>4830000000</v>
      </c>
      <c r="Z2" s="9">
        <v>4740000000</v>
      </c>
      <c r="AA2" s="9">
        <v>4960000000</v>
      </c>
      <c r="AB2" s="9">
        <v>5570000000</v>
      </c>
      <c r="AC2" s="9">
        <v>4630000000</v>
      </c>
      <c r="AD2" s="9">
        <v>4780000000</v>
      </c>
      <c r="AE2" s="9">
        <v>4920000000</v>
      </c>
      <c r="AF2" s="9">
        <v>5050000000</v>
      </c>
      <c r="AG2" s="9">
        <v>5260000000</v>
      </c>
      <c r="AH2" s="9">
        <v>5630000000</v>
      </c>
      <c r="AI2" s="9">
        <v>6220000000</v>
      </c>
      <c r="AJ2" s="9">
        <v>6450000000</v>
      </c>
      <c r="AK2" s="9">
        <v>6860000000</v>
      </c>
      <c r="AL2" s="9">
        <v>7330000000</v>
      </c>
      <c r="AM2" s="9">
        <v>8270000000</v>
      </c>
      <c r="AN2" s="9">
        <v>9100000000</v>
      </c>
      <c r="AO2" s="9">
        <v>9170000000</v>
      </c>
      <c r="AP2" s="9">
        <v>9320000000</v>
      </c>
      <c r="AQ2" s="9">
        <v>9480000000</v>
      </c>
      <c r="AR2" s="9">
        <v>9490000000</v>
      </c>
      <c r="AS2" s="9">
        <v>9670000000</v>
      </c>
      <c r="AT2" s="9">
        <v>9940000000</v>
      </c>
      <c r="AU2" s="9">
        <v>10100000000</v>
      </c>
      <c r="AV2" s="9">
        <v>10300000000</v>
      </c>
    </row>
    <row r="3" spans="1:48" x14ac:dyDescent="0.2">
      <c r="A3" s="1" t="s">
        <v>23</v>
      </c>
      <c r="B3" s="9"/>
      <c r="C3" s="9"/>
      <c r="D3" s="9"/>
      <c r="E3" s="9"/>
      <c r="F3" s="9"/>
      <c r="G3" s="9"/>
      <c r="H3" s="9"/>
      <c r="I3" s="9"/>
      <c r="J3" s="9"/>
      <c r="K3" s="9"/>
      <c r="L3" s="9"/>
      <c r="M3" s="9"/>
      <c r="N3" s="9"/>
      <c r="O3" s="9"/>
      <c r="P3" s="9"/>
      <c r="Q3" s="9"/>
      <c r="R3" s="9"/>
      <c r="S3" s="9"/>
      <c r="T3" s="9"/>
      <c r="U3" s="9"/>
      <c r="V3" s="9">
        <v>3110000000</v>
      </c>
      <c r="W3" s="9">
        <v>3020000000</v>
      </c>
      <c r="X3" s="9">
        <v>2920000000</v>
      </c>
      <c r="Y3" s="9">
        <v>2600000000</v>
      </c>
      <c r="Z3" s="9">
        <v>2720000000</v>
      </c>
      <c r="AA3" s="9">
        <v>3260000000</v>
      </c>
      <c r="AB3" s="9">
        <v>3380000000</v>
      </c>
      <c r="AC3" s="9">
        <v>3630000000</v>
      </c>
      <c r="AD3" s="9">
        <v>3820000000</v>
      </c>
      <c r="AE3" s="9">
        <v>3870000000</v>
      </c>
      <c r="AF3" s="9">
        <v>4200000000</v>
      </c>
      <c r="AG3" s="9">
        <v>4510000000</v>
      </c>
      <c r="AH3" s="9">
        <v>4910000000</v>
      </c>
      <c r="AI3" s="9">
        <v>5250000000</v>
      </c>
      <c r="AJ3" s="9">
        <v>5720000000</v>
      </c>
      <c r="AK3" s="9">
        <v>6220000000</v>
      </c>
      <c r="AL3" s="9">
        <v>6740000000</v>
      </c>
      <c r="AM3" s="9">
        <v>7630000000</v>
      </c>
      <c r="AN3" s="9">
        <v>8040000000</v>
      </c>
      <c r="AO3" s="9">
        <v>7680000000</v>
      </c>
      <c r="AP3" s="9">
        <v>7980000000</v>
      </c>
      <c r="AQ3" s="9">
        <v>8190000000</v>
      </c>
      <c r="AR3" s="9">
        <v>8940000000</v>
      </c>
      <c r="AS3" s="9">
        <v>9020000000</v>
      </c>
      <c r="AT3" s="9">
        <v>9110000000</v>
      </c>
      <c r="AU3" s="9">
        <v>8410000000</v>
      </c>
      <c r="AV3" s="9">
        <v>8490000000</v>
      </c>
    </row>
    <row r="4" spans="1:48" x14ac:dyDescent="0.2">
      <c r="A4" s="1" t="s">
        <v>29</v>
      </c>
      <c r="B4" s="9"/>
      <c r="C4" s="9"/>
      <c r="D4" s="9"/>
      <c r="E4" s="9"/>
      <c r="F4" s="9"/>
      <c r="G4" s="9"/>
      <c r="H4" s="9"/>
      <c r="I4" s="9"/>
      <c r="J4" s="9"/>
      <c r="K4" s="9"/>
      <c r="L4" s="9"/>
      <c r="M4" s="9"/>
      <c r="N4" s="9"/>
      <c r="O4" s="9"/>
      <c r="P4" s="9"/>
      <c r="Q4" s="9"/>
      <c r="R4" s="9"/>
      <c r="S4" s="9"/>
      <c r="T4" s="9"/>
      <c r="U4" s="9"/>
      <c r="V4" s="9">
        <v>7610000000</v>
      </c>
      <c r="W4" s="9">
        <v>7420000000</v>
      </c>
      <c r="X4" s="9">
        <v>6970000000</v>
      </c>
      <c r="Y4" s="9">
        <v>5710000000</v>
      </c>
      <c r="Z4" s="9">
        <v>5460000000</v>
      </c>
      <c r="AA4" s="9">
        <v>5280000000</v>
      </c>
      <c r="AB4" s="9">
        <v>5630000000</v>
      </c>
      <c r="AC4" s="9">
        <v>5310000000</v>
      </c>
      <c r="AD4" s="9">
        <v>5820000000</v>
      </c>
      <c r="AE4" s="9">
        <v>6350000000</v>
      </c>
      <c r="AF4" s="9">
        <v>6880000000</v>
      </c>
      <c r="AG4" s="9">
        <v>7460000000</v>
      </c>
      <c r="AH4" s="9">
        <v>8010000000</v>
      </c>
      <c r="AI4" s="9">
        <v>8760000000</v>
      </c>
      <c r="AJ4" s="9">
        <v>9720000000</v>
      </c>
      <c r="AK4" s="9">
        <v>11000000000</v>
      </c>
      <c r="AL4" s="9">
        <v>12600000000</v>
      </c>
      <c r="AM4" s="9">
        <v>14700000000</v>
      </c>
      <c r="AN4" s="9">
        <v>17300000000</v>
      </c>
      <c r="AO4" s="9">
        <v>18800000000</v>
      </c>
      <c r="AP4" s="9">
        <v>20800000000</v>
      </c>
      <c r="AQ4" s="9">
        <v>22600000000</v>
      </c>
      <c r="AR4" s="9">
        <v>24500000000</v>
      </c>
      <c r="AS4" s="9">
        <v>26600000000</v>
      </c>
      <c r="AT4" s="9">
        <v>28800000000</v>
      </c>
      <c r="AU4" s="9">
        <v>31300000000</v>
      </c>
      <c r="AV4" s="9">
        <v>31500000000</v>
      </c>
    </row>
    <row r="5" spans="1:48" x14ac:dyDescent="0.2">
      <c r="A5" s="1" t="s">
        <v>3</v>
      </c>
      <c r="B5" s="9"/>
      <c r="C5" s="9"/>
      <c r="D5" s="9"/>
      <c r="E5" s="9"/>
      <c r="F5" s="9"/>
      <c r="G5" s="9"/>
      <c r="H5" s="9"/>
      <c r="I5" s="9"/>
      <c r="J5" s="9"/>
      <c r="K5" s="9"/>
      <c r="L5" s="9"/>
      <c r="M5" s="9"/>
      <c r="N5" s="9"/>
      <c r="O5" s="9"/>
      <c r="P5" s="9"/>
      <c r="Q5" s="9"/>
      <c r="R5" s="9"/>
      <c r="S5" s="9"/>
      <c r="T5" s="9"/>
      <c r="U5" s="9"/>
      <c r="V5" s="9">
        <v>11200000000</v>
      </c>
      <c r="W5" s="9">
        <v>10500000000</v>
      </c>
      <c r="X5" s="9">
        <v>9920000000</v>
      </c>
      <c r="Y5" s="9">
        <v>9430000000</v>
      </c>
      <c r="Z5" s="9">
        <v>8090000000</v>
      </c>
      <c r="AA5" s="9">
        <v>7130000000</v>
      </c>
      <c r="AB5" s="9">
        <v>7510000000</v>
      </c>
      <c r="AC5" s="9">
        <v>8340000000</v>
      </c>
      <c r="AD5" s="9">
        <v>9470000000</v>
      </c>
      <c r="AE5" s="9">
        <v>10300000000</v>
      </c>
      <c r="AF5" s="9">
        <v>11200000000</v>
      </c>
      <c r="AG5" s="9">
        <v>13100000000</v>
      </c>
      <c r="AH5" s="9">
        <v>14500000000</v>
      </c>
      <c r="AI5" s="9">
        <v>15500000000</v>
      </c>
      <c r="AJ5" s="9">
        <v>17000000000</v>
      </c>
      <c r="AK5" s="9">
        <v>19500000000</v>
      </c>
      <c r="AL5" s="9">
        <v>22000000000</v>
      </c>
      <c r="AM5" s="9">
        <v>24900000000</v>
      </c>
      <c r="AN5" s="9">
        <v>29100000000</v>
      </c>
      <c r="AO5" s="9">
        <v>29100000000</v>
      </c>
      <c r="AP5" s="9">
        <v>31800000000</v>
      </c>
      <c r="AQ5" s="9">
        <v>32600000000</v>
      </c>
      <c r="AR5" s="9">
        <v>36000000000</v>
      </c>
      <c r="AS5" s="9">
        <v>39900000000</v>
      </c>
      <c r="AT5" s="9">
        <v>41600000000</v>
      </c>
      <c r="AU5" s="9">
        <v>40600000000</v>
      </c>
      <c r="AV5" s="9">
        <v>39000000000</v>
      </c>
    </row>
    <row r="6" spans="1:48" x14ac:dyDescent="0.2">
      <c r="A6" s="1" t="s">
        <v>36</v>
      </c>
      <c r="C6" s="9"/>
      <c r="D6" s="9"/>
      <c r="E6" s="9"/>
      <c r="F6" s="9"/>
      <c r="G6" s="9"/>
      <c r="H6" s="9"/>
      <c r="I6" s="9"/>
      <c r="J6" s="9"/>
      <c r="K6" s="9"/>
      <c r="L6" s="9"/>
      <c r="M6" s="9"/>
      <c r="N6" s="9"/>
      <c r="O6" s="9"/>
      <c r="P6" s="9"/>
      <c r="Q6" s="9"/>
      <c r="R6" s="9"/>
      <c r="S6" s="9"/>
      <c r="T6" s="9"/>
      <c r="U6" s="9"/>
      <c r="V6" s="9">
        <v>3220000000</v>
      </c>
      <c r="W6" s="9">
        <v>2890000000</v>
      </c>
      <c r="X6" s="9">
        <v>2760000000</v>
      </c>
      <c r="Y6" s="9">
        <v>2680000000</v>
      </c>
      <c r="Z6" s="9">
        <v>2850000000</v>
      </c>
      <c r="AA6" s="9">
        <v>3840000000</v>
      </c>
      <c r="AB6" s="9">
        <v>6580000000</v>
      </c>
      <c r="AC6" s="9">
        <v>7760000000</v>
      </c>
      <c r="AD6" s="9">
        <v>8740000000</v>
      </c>
      <c r="AE6" s="9">
        <v>9870000000</v>
      </c>
      <c r="AF6" s="9">
        <v>9600000000</v>
      </c>
      <c r="AG6" s="9">
        <v>10400000000</v>
      </c>
      <c r="AH6" s="9">
        <v>10900000000</v>
      </c>
      <c r="AI6" s="9">
        <v>11200000000</v>
      </c>
      <c r="AJ6" s="9">
        <v>11800000000</v>
      </c>
      <c r="AK6" s="9">
        <v>13000000000</v>
      </c>
      <c r="AL6" s="9">
        <v>13600000000</v>
      </c>
      <c r="AM6" s="9">
        <v>14600000000</v>
      </c>
      <c r="AN6" s="9">
        <v>15400000000</v>
      </c>
      <c r="AO6" s="9">
        <v>14700000000</v>
      </c>
      <c r="AP6" s="9">
        <v>14700000000</v>
      </c>
      <c r="AQ6" s="9">
        <v>14700000000</v>
      </c>
      <c r="AR6" s="9">
        <v>14600000000</v>
      </c>
      <c r="AS6" s="9">
        <v>14600000000</v>
      </c>
      <c r="AT6" s="9">
        <v>14800000000</v>
      </c>
      <c r="AU6" s="9">
        <v>15100000000</v>
      </c>
      <c r="AV6" s="9">
        <v>15300000000</v>
      </c>
    </row>
    <row r="7" spans="1:48" x14ac:dyDescent="0.2">
      <c r="A7" s="1" t="s">
        <v>22</v>
      </c>
      <c r="B7" s="9">
        <v>10300000000</v>
      </c>
      <c r="C7" s="9">
        <v>11000000000</v>
      </c>
      <c r="D7" s="9">
        <v>11800000000</v>
      </c>
      <c r="E7" s="9">
        <v>12800000000</v>
      </c>
      <c r="F7" s="9">
        <v>13800000000</v>
      </c>
      <c r="G7" s="9">
        <v>15000000000</v>
      </c>
      <c r="H7" s="9">
        <v>15900000000</v>
      </c>
      <c r="I7" s="9">
        <v>17000000000</v>
      </c>
      <c r="J7" s="9">
        <v>17900000000</v>
      </c>
      <c r="K7" s="9">
        <v>18900000000</v>
      </c>
      <c r="L7" s="9">
        <v>20400000000</v>
      </c>
      <c r="M7" s="9">
        <v>21300000000</v>
      </c>
      <c r="N7" s="9">
        <v>22400000000</v>
      </c>
      <c r="O7" s="9">
        <v>23000000000</v>
      </c>
      <c r="P7" s="9">
        <v>24100000000</v>
      </c>
      <c r="Q7" s="9">
        <v>24100000000</v>
      </c>
      <c r="R7" s="9">
        <v>24600000000</v>
      </c>
      <c r="S7" s="9">
        <v>26000000000</v>
      </c>
      <c r="T7" s="9">
        <v>27700000000</v>
      </c>
      <c r="U7" s="9">
        <v>26600000000</v>
      </c>
      <c r="V7" s="9">
        <v>28100000000</v>
      </c>
      <c r="W7" s="9">
        <v>21100000000</v>
      </c>
      <c r="X7" s="9">
        <v>21300000000</v>
      </c>
      <c r="Y7" s="9">
        <v>21100000000</v>
      </c>
      <c r="Z7" s="9">
        <v>20600000000</v>
      </c>
      <c r="AA7" s="9">
        <v>20500000000</v>
      </c>
      <c r="AB7" s="9">
        <v>19700000000</v>
      </c>
      <c r="AC7" s="9">
        <v>16300000000</v>
      </c>
      <c r="AD7" s="9">
        <v>16600000000</v>
      </c>
      <c r="AE7" s="9">
        <v>17100000000</v>
      </c>
      <c r="AF7" s="9">
        <v>18500000000</v>
      </c>
      <c r="AG7" s="9">
        <v>19900000000</v>
      </c>
      <c r="AH7" s="9">
        <v>21100000000</v>
      </c>
      <c r="AI7" s="9">
        <v>22400000000</v>
      </c>
      <c r="AJ7" s="9">
        <v>24600000000</v>
      </c>
      <c r="AK7" s="9">
        <v>26400000000</v>
      </c>
      <c r="AL7" s="9">
        <v>28700000000</v>
      </c>
      <c r="AM7" s="9">
        <v>32300000000</v>
      </c>
      <c r="AN7" s="9">
        <v>33400000000</v>
      </c>
      <c r="AO7" s="9">
        <v>31800000000</v>
      </c>
      <c r="AP7" s="9">
        <v>32300000000</v>
      </c>
      <c r="AQ7" s="9">
        <v>32900000000</v>
      </c>
      <c r="AR7" s="9">
        <v>33900000000</v>
      </c>
      <c r="AS7" s="9">
        <v>33100000000</v>
      </c>
      <c r="AT7" s="9">
        <v>34000000000</v>
      </c>
      <c r="AU7" s="9">
        <v>35500000000</v>
      </c>
      <c r="AV7" s="9">
        <v>36800000000</v>
      </c>
    </row>
    <row r="8" spans="1:48" x14ac:dyDescent="0.2">
      <c r="A8" s="1" t="s">
        <v>12</v>
      </c>
      <c r="B8" s="9"/>
      <c r="C8" s="9"/>
      <c r="D8" s="9"/>
      <c r="E8" s="9"/>
      <c r="F8" s="9"/>
      <c r="G8" s="9"/>
      <c r="H8" s="9"/>
      <c r="I8" s="9"/>
      <c r="J8" s="9"/>
      <c r="K8" s="9"/>
      <c r="L8" s="9"/>
      <c r="M8" s="9"/>
      <c r="N8" s="9"/>
      <c r="O8" s="9"/>
      <c r="P8" s="9"/>
      <c r="Q8" s="9"/>
      <c r="R8" s="9"/>
      <c r="S8" s="9"/>
      <c r="T8" s="9"/>
      <c r="U8" s="9"/>
      <c r="V8" s="9">
        <v>32100000000</v>
      </c>
      <c r="W8" s="9">
        <v>27000000000</v>
      </c>
      <c r="X8" s="9">
        <v>20700000000</v>
      </c>
      <c r="Y8" s="9">
        <v>20900000000</v>
      </c>
      <c r="Z8" s="9">
        <v>18600000000</v>
      </c>
      <c r="AA8" s="9">
        <v>24300000000</v>
      </c>
      <c r="AB8" s="9">
        <v>24800000000</v>
      </c>
      <c r="AC8" s="9">
        <v>27800000000</v>
      </c>
      <c r="AD8" s="9">
        <v>27400000000</v>
      </c>
      <c r="AE8" s="9">
        <v>26600000000</v>
      </c>
      <c r="AF8" s="9">
        <v>27400000000</v>
      </c>
      <c r="AG8" s="9">
        <v>28600000000</v>
      </c>
      <c r="AH8" s="9">
        <v>30900000000</v>
      </c>
      <c r="AI8" s="9">
        <v>32100000000</v>
      </c>
      <c r="AJ8" s="9">
        <v>33400000000</v>
      </c>
      <c r="AK8" s="9">
        <v>34700000000</v>
      </c>
      <c r="AL8" s="9">
        <v>35800000000</v>
      </c>
      <c r="AM8" s="9">
        <v>38100000000</v>
      </c>
      <c r="AN8" s="9">
        <v>38600000000</v>
      </c>
      <c r="AO8" s="9">
        <v>35700000000</v>
      </c>
      <c r="AP8" s="9">
        <v>35200000000</v>
      </c>
      <c r="AQ8" s="9">
        <v>35300000000</v>
      </c>
      <c r="AR8" s="9">
        <v>34200000000</v>
      </c>
      <c r="AS8" s="9">
        <v>33600000000</v>
      </c>
      <c r="AT8" s="9">
        <v>33100000000</v>
      </c>
      <c r="AU8" s="9">
        <v>33400000000</v>
      </c>
      <c r="AV8" s="9">
        <v>34500000000</v>
      </c>
    </row>
    <row r="9" spans="1:48" x14ac:dyDescent="0.2">
      <c r="A9" s="1" t="s">
        <v>37</v>
      </c>
      <c r="B9" s="9"/>
      <c r="C9" s="9"/>
      <c r="D9" s="9"/>
      <c r="E9" s="9"/>
      <c r="F9" s="9"/>
      <c r="G9" s="9"/>
      <c r="H9" s="9"/>
      <c r="I9" s="9"/>
      <c r="J9" s="9"/>
      <c r="K9" s="9"/>
      <c r="L9" s="9"/>
      <c r="M9" s="9"/>
      <c r="N9" s="9"/>
      <c r="O9" s="9"/>
      <c r="P9" s="9"/>
      <c r="Q9" s="9"/>
      <c r="R9" s="9"/>
      <c r="S9" s="9"/>
      <c r="T9" s="9"/>
      <c r="U9" s="9"/>
      <c r="V9" s="9">
        <v>71200000000</v>
      </c>
      <c r="W9" s="9">
        <v>56000000000</v>
      </c>
      <c r="X9" s="9">
        <v>60900000000</v>
      </c>
      <c r="Y9" s="9">
        <v>61600000000</v>
      </c>
      <c r="Z9" s="9">
        <v>64200000000</v>
      </c>
      <c r="AA9" s="9">
        <v>67200000000</v>
      </c>
      <c r="AB9" s="9">
        <v>72200000000</v>
      </c>
      <c r="AC9" s="9">
        <v>74200000000</v>
      </c>
      <c r="AD9" s="9">
        <v>73800000000</v>
      </c>
      <c r="AE9" s="9">
        <v>75900000000</v>
      </c>
      <c r="AF9" s="9">
        <v>77100000000</v>
      </c>
      <c r="AG9" s="9">
        <v>79300000000</v>
      </c>
      <c r="AH9" s="9">
        <v>81600000000</v>
      </c>
      <c r="AI9" s="9">
        <v>85500000000</v>
      </c>
      <c r="AJ9" s="9">
        <v>88500000000</v>
      </c>
      <c r="AK9" s="9">
        <v>91400000000</v>
      </c>
      <c r="AL9" s="9">
        <v>94800000000</v>
      </c>
      <c r="AM9" s="9">
        <v>98700000000</v>
      </c>
      <c r="AN9" s="9">
        <v>102000000000</v>
      </c>
      <c r="AO9" s="9">
        <v>101000000000</v>
      </c>
      <c r="AP9" s="9">
        <v>102000000000</v>
      </c>
      <c r="AQ9" s="9">
        <v>102000000000</v>
      </c>
      <c r="AR9" s="9">
        <v>101000000000</v>
      </c>
      <c r="AS9" s="9">
        <v>102000000000</v>
      </c>
      <c r="AT9" s="9">
        <v>103000000000</v>
      </c>
      <c r="AU9" s="9">
        <v>107000000000</v>
      </c>
      <c r="AV9" s="9">
        <v>111000000000</v>
      </c>
    </row>
    <row r="10" spans="1:48" x14ac:dyDescent="0.2">
      <c r="A10" s="1" t="s">
        <v>30</v>
      </c>
      <c r="B10" s="9">
        <v>54700000000</v>
      </c>
      <c r="C10" s="9">
        <v>57600000000</v>
      </c>
      <c r="D10" s="9">
        <v>60200000000</v>
      </c>
      <c r="E10" s="9">
        <v>63500000000</v>
      </c>
      <c r="F10" s="9">
        <v>66900000000</v>
      </c>
      <c r="G10" s="9">
        <v>70000000000</v>
      </c>
      <c r="H10" s="9">
        <v>73800000000</v>
      </c>
      <c r="I10" s="9">
        <v>80200000000</v>
      </c>
      <c r="J10" s="9">
        <v>83200000000</v>
      </c>
      <c r="K10" s="9">
        <v>84200000000</v>
      </c>
      <c r="L10" s="9">
        <v>84300000000</v>
      </c>
      <c r="M10" s="9">
        <v>87200000000</v>
      </c>
      <c r="N10" s="9">
        <v>86400000000</v>
      </c>
      <c r="O10" s="9">
        <v>88900000000</v>
      </c>
      <c r="P10" s="9">
        <v>89000000000</v>
      </c>
      <c r="Q10" s="9">
        <v>91900000000</v>
      </c>
      <c r="R10" s="9">
        <v>94300000000</v>
      </c>
      <c r="S10" s="9">
        <v>96800000000</v>
      </c>
      <c r="T10" s="9">
        <v>99200000000</v>
      </c>
      <c r="U10" s="9">
        <v>101000000000</v>
      </c>
      <c r="V10" s="9">
        <v>106000000000</v>
      </c>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x14ac:dyDescent="0.2">
      <c r="A11" s="1" t="s">
        <v>13</v>
      </c>
      <c r="B11" s="9"/>
      <c r="C11" s="9"/>
      <c r="D11" s="9"/>
      <c r="E11" s="9"/>
      <c r="F11" s="9"/>
      <c r="G11" s="9"/>
      <c r="H11" s="9"/>
      <c r="I11" s="9"/>
      <c r="J11" s="9"/>
      <c r="K11" s="9"/>
      <c r="L11" s="9"/>
      <c r="M11" s="9"/>
      <c r="N11" s="9"/>
      <c r="O11" s="9"/>
      <c r="P11" s="9"/>
      <c r="Q11" s="9"/>
      <c r="R11" s="9"/>
      <c r="S11" s="9"/>
      <c r="T11" s="9"/>
      <c r="U11" s="9"/>
      <c r="V11" s="9">
        <v>6950000000</v>
      </c>
      <c r="W11" s="9">
        <v>6890000000</v>
      </c>
      <c r="X11" s="9">
        <v>5080000000</v>
      </c>
      <c r="Y11" s="9">
        <v>4620000000</v>
      </c>
      <c r="Z11" s="9">
        <v>4650000000</v>
      </c>
      <c r="AA11" s="9">
        <v>4810000000</v>
      </c>
      <c r="AB11" s="9">
        <v>5460000000</v>
      </c>
      <c r="AC11" s="9">
        <v>6140000000</v>
      </c>
      <c r="AD11" s="9">
        <v>6460000000</v>
      </c>
      <c r="AE11" s="9">
        <v>6520000000</v>
      </c>
      <c r="AF11" s="9">
        <v>6990000000</v>
      </c>
      <c r="AG11" s="9">
        <v>7440000000</v>
      </c>
      <c r="AH11" s="9">
        <v>8140000000</v>
      </c>
      <c r="AI11" s="9">
        <v>8890000000</v>
      </c>
      <c r="AJ11" s="9">
        <v>9580000000</v>
      </c>
      <c r="AK11" s="9">
        <v>10500000000</v>
      </c>
      <c r="AL11" s="9">
        <v>11800000000</v>
      </c>
      <c r="AM11" s="9">
        <v>12800000000</v>
      </c>
      <c r="AN11" s="9">
        <v>12200000000</v>
      </c>
      <c r="AO11" s="9">
        <v>10400000000</v>
      </c>
      <c r="AP11" s="9">
        <v>10200000000</v>
      </c>
      <c r="AQ11" s="9">
        <v>10600000000</v>
      </c>
      <c r="AR11" s="9">
        <v>11000000000</v>
      </c>
      <c r="AS11" s="9">
        <v>11400000000</v>
      </c>
      <c r="AT11" s="9">
        <v>11800000000</v>
      </c>
      <c r="AU11" s="9">
        <v>12300000000</v>
      </c>
      <c r="AV11" s="9">
        <v>12900000000</v>
      </c>
    </row>
    <row r="12" spans="1:48" x14ac:dyDescent="0.2">
      <c r="A12" s="1" t="s">
        <v>26</v>
      </c>
      <c r="B12" s="9"/>
      <c r="C12" s="9"/>
      <c r="D12" s="9"/>
      <c r="E12" s="9"/>
      <c r="F12" s="9"/>
      <c r="G12" s="9"/>
      <c r="H12" s="9"/>
      <c r="I12" s="9"/>
      <c r="J12" s="9"/>
      <c r="K12" s="9"/>
      <c r="L12" s="9"/>
      <c r="M12" s="9"/>
      <c r="N12" s="9"/>
      <c r="O12" s="9"/>
      <c r="P12" s="9"/>
      <c r="Q12" s="9"/>
      <c r="R12" s="9"/>
      <c r="S12" s="9"/>
      <c r="T12" s="9"/>
      <c r="U12" s="9"/>
      <c r="V12" s="9">
        <v>10600000000</v>
      </c>
      <c r="W12" s="9">
        <v>7760000000</v>
      </c>
      <c r="X12" s="9">
        <v>7980000000</v>
      </c>
      <c r="Y12" s="9">
        <v>5530000000</v>
      </c>
      <c r="Z12" s="9">
        <v>4590000000</v>
      </c>
      <c r="AA12" s="9">
        <v>3970000000</v>
      </c>
      <c r="AB12" s="9">
        <v>5590000000</v>
      </c>
      <c r="AC12" s="9">
        <v>5980000000</v>
      </c>
      <c r="AD12" s="9">
        <v>5080000000</v>
      </c>
      <c r="AE12" s="9">
        <v>5050000000</v>
      </c>
      <c r="AF12" s="9">
        <v>5730000000</v>
      </c>
      <c r="AG12" s="9">
        <v>5270000000</v>
      </c>
      <c r="AH12" s="9">
        <v>5450000000</v>
      </c>
      <c r="AI12" s="9">
        <v>5710000000</v>
      </c>
      <c r="AJ12" s="9">
        <v>5810000000</v>
      </c>
      <c r="AK12" s="9">
        <v>6040000000</v>
      </c>
      <c r="AL12" s="9">
        <v>7690000000</v>
      </c>
      <c r="AM12" s="9">
        <v>8080000000</v>
      </c>
      <c r="AN12" s="9">
        <v>8860000000</v>
      </c>
      <c r="AO12" s="9">
        <v>8950000000</v>
      </c>
      <c r="AP12" s="9">
        <v>8750000000</v>
      </c>
      <c r="AQ12" s="9">
        <v>9330000000</v>
      </c>
      <c r="AR12" s="9">
        <v>9750000000</v>
      </c>
      <c r="AS12" s="9">
        <v>9740000000</v>
      </c>
      <c r="AT12" s="9">
        <v>10100000000</v>
      </c>
      <c r="AU12" s="9">
        <v>10100000000</v>
      </c>
      <c r="AV12" s="9">
        <v>9830000000</v>
      </c>
    </row>
    <row r="13" spans="1:48" x14ac:dyDescent="0.2">
      <c r="A13" s="1" t="s">
        <v>9</v>
      </c>
      <c r="B13" s="9">
        <v>36700000000</v>
      </c>
      <c r="C13" s="9">
        <v>38600000000</v>
      </c>
      <c r="D13" s="9">
        <v>39900000000</v>
      </c>
      <c r="E13" s="9">
        <v>41600000000</v>
      </c>
      <c r="F13" s="9">
        <v>44100000000</v>
      </c>
      <c r="G13" s="9">
        <v>46200000000</v>
      </c>
      <c r="H13" s="9">
        <v>46800000000</v>
      </c>
      <c r="I13" s="9">
        <v>49000000000</v>
      </c>
      <c r="J13" s="9">
        <v>50600000000</v>
      </c>
      <c r="K13" s="9">
        <v>51600000000</v>
      </c>
      <c r="L13" s="9">
        <v>51700000000</v>
      </c>
      <c r="M13" s="9">
        <v>53000000000</v>
      </c>
      <c r="N13" s="9">
        <v>53300000000</v>
      </c>
      <c r="O13" s="9">
        <v>53600000000</v>
      </c>
      <c r="P13" s="9">
        <v>54200000000</v>
      </c>
      <c r="Q13" s="9">
        <v>54800000000</v>
      </c>
      <c r="R13" s="9">
        <v>55800000000</v>
      </c>
      <c r="S13" s="9">
        <v>58100000000</v>
      </c>
      <c r="T13" s="9">
        <v>55400000000</v>
      </c>
      <c r="U13" s="9">
        <v>56500000000</v>
      </c>
      <c r="V13" s="9">
        <v>54500000000</v>
      </c>
      <c r="W13" s="9">
        <v>51000000000</v>
      </c>
      <c r="X13" s="9">
        <v>51900000000</v>
      </c>
      <c r="Y13" s="9">
        <v>54300000000</v>
      </c>
      <c r="Z13" s="9">
        <v>54500000000</v>
      </c>
      <c r="AA13" s="9">
        <v>50500000000</v>
      </c>
      <c r="AB13" s="9">
        <v>49300000000</v>
      </c>
      <c r="AC13" s="9">
        <v>50300000000</v>
      </c>
      <c r="AD13" s="9">
        <v>52700000000</v>
      </c>
      <c r="AE13" s="9">
        <v>56200000000</v>
      </c>
      <c r="AF13" s="9">
        <v>58000000000</v>
      </c>
      <c r="AG13" s="9">
        <v>60600000000</v>
      </c>
      <c r="AH13" s="9">
        <v>65400000000</v>
      </c>
      <c r="AI13" s="9">
        <v>70900000000</v>
      </c>
      <c r="AJ13" s="9">
        <v>72400000000</v>
      </c>
      <c r="AK13" s="9">
        <v>74500000000</v>
      </c>
      <c r="AL13" s="9">
        <v>75800000000</v>
      </c>
      <c r="AM13" s="9">
        <v>76600000000</v>
      </c>
      <c r="AN13" s="9">
        <v>75700000000</v>
      </c>
      <c r="AO13" s="9">
        <v>70700000000</v>
      </c>
      <c r="AP13" s="9">
        <v>68800000000</v>
      </c>
      <c r="AQ13" s="9">
        <v>69300000000</v>
      </c>
      <c r="AR13" s="9">
        <v>67700000000</v>
      </c>
      <c r="AS13" s="9">
        <v>67800000000</v>
      </c>
      <c r="AT13" s="9">
        <v>69700000000</v>
      </c>
      <c r="AU13" s="9">
        <v>72200000000</v>
      </c>
      <c r="AV13" s="9">
        <v>75400000000</v>
      </c>
    </row>
    <row r="14" spans="1:48" x14ac:dyDescent="0.2">
      <c r="A14" s="1" t="s">
        <v>7</v>
      </c>
      <c r="B14" s="9"/>
      <c r="C14" s="9"/>
      <c r="D14" s="9"/>
      <c r="E14" s="9"/>
      <c r="F14" s="9"/>
      <c r="G14" s="9"/>
      <c r="H14" s="9"/>
      <c r="I14" s="9"/>
      <c r="J14" s="9"/>
      <c r="K14" s="9"/>
      <c r="L14" s="9"/>
      <c r="M14" s="9"/>
      <c r="N14" s="9"/>
      <c r="O14" s="9"/>
      <c r="P14" s="9"/>
      <c r="Q14" s="9"/>
      <c r="R14" s="9"/>
      <c r="S14" s="9"/>
      <c r="T14" s="9"/>
      <c r="U14" s="9"/>
      <c r="V14" s="9">
        <v>56700000000</v>
      </c>
      <c r="W14" s="9">
        <v>54000000000</v>
      </c>
      <c r="X14" s="9">
        <v>53400000000</v>
      </c>
      <c r="Y14" s="9">
        <v>48400000000</v>
      </c>
      <c r="Z14" s="9">
        <v>36600000000</v>
      </c>
      <c r="AA14" s="9">
        <v>29000000000</v>
      </c>
      <c r="AB14" s="9">
        <v>27500000000</v>
      </c>
      <c r="AC14" s="9">
        <v>28300000000</v>
      </c>
      <c r="AD14" s="9">
        <v>28100000000</v>
      </c>
      <c r="AE14" s="9">
        <v>28200000000</v>
      </c>
      <c r="AF14" s="9">
        <v>28600000000</v>
      </c>
      <c r="AG14" s="9">
        <v>30900000000</v>
      </c>
      <c r="AH14" s="9">
        <v>31900000000</v>
      </c>
      <c r="AI14" s="9">
        <v>35700000000</v>
      </c>
      <c r="AJ14" s="9">
        <v>40600000000</v>
      </c>
      <c r="AK14" s="9">
        <v>44900000000</v>
      </c>
      <c r="AL14" s="9">
        <v>50500000000</v>
      </c>
      <c r="AM14" s="9">
        <v>56000000000</v>
      </c>
      <c r="AN14" s="9">
        <v>60100000000</v>
      </c>
      <c r="AO14" s="9">
        <v>60300000000</v>
      </c>
      <c r="AP14" s="9">
        <v>67200000000</v>
      </c>
      <c r="AQ14" s="9">
        <v>75300000000</v>
      </c>
      <c r="AR14" s="9">
        <v>82900000000</v>
      </c>
      <c r="AS14" s="9">
        <v>98300000000</v>
      </c>
      <c r="AT14" s="9">
        <v>99700000000</v>
      </c>
      <c r="AU14" s="9">
        <v>101000000000</v>
      </c>
      <c r="AV14" s="9">
        <v>103000000000</v>
      </c>
    </row>
    <row r="15" spans="1:48" x14ac:dyDescent="0.2">
      <c r="A15" s="1" t="s">
        <v>10</v>
      </c>
      <c r="B15" s="9"/>
      <c r="C15" s="9"/>
      <c r="D15" s="9"/>
      <c r="E15" s="9"/>
      <c r="F15" s="9"/>
      <c r="G15" s="9"/>
      <c r="H15" s="9"/>
      <c r="I15" s="9"/>
      <c r="J15" s="9"/>
      <c r="K15" s="9"/>
      <c r="L15" s="9"/>
      <c r="M15" s="9"/>
      <c r="N15" s="9"/>
      <c r="O15" s="9"/>
      <c r="P15" s="9"/>
      <c r="Q15" s="9"/>
      <c r="R15" s="9"/>
      <c r="S15" s="9"/>
      <c r="T15" s="9"/>
      <c r="U15" s="9"/>
      <c r="V15" s="9">
        <v>6400000000</v>
      </c>
      <c r="W15" s="9">
        <v>5700000000</v>
      </c>
      <c r="X15" s="9">
        <v>4260000000</v>
      </c>
      <c r="Y15" s="9">
        <v>3200000000</v>
      </c>
      <c r="Z15" s="9">
        <v>3210000000</v>
      </c>
      <c r="AA15" s="9">
        <v>3460000000</v>
      </c>
      <c r="AB15" s="9">
        <v>3730000000</v>
      </c>
      <c r="AC15" s="9">
        <v>4140000000</v>
      </c>
      <c r="AD15" s="9">
        <v>3670000000</v>
      </c>
      <c r="AE15" s="9">
        <v>2740000000</v>
      </c>
      <c r="AF15" s="9">
        <v>3370000000</v>
      </c>
      <c r="AG15" s="9">
        <v>3510000000</v>
      </c>
      <c r="AH15" s="9">
        <v>3460000000</v>
      </c>
      <c r="AI15" s="9">
        <v>3520000000</v>
      </c>
      <c r="AJ15" s="9">
        <v>3560000000</v>
      </c>
      <c r="AK15" s="9">
        <v>3820000000</v>
      </c>
      <c r="AL15" s="9">
        <v>3980000000</v>
      </c>
      <c r="AM15" s="9">
        <v>4370000000</v>
      </c>
      <c r="AN15" s="9">
        <v>4750000000</v>
      </c>
      <c r="AO15" s="9">
        <v>4860000000</v>
      </c>
      <c r="AP15" s="9">
        <v>5030000000</v>
      </c>
      <c r="AQ15" s="9">
        <v>5200000000</v>
      </c>
      <c r="AR15" s="9">
        <v>5340000000</v>
      </c>
      <c r="AS15" s="9">
        <v>5450000000</v>
      </c>
      <c r="AT15" s="9">
        <v>5710000000</v>
      </c>
      <c r="AU15" s="9">
        <v>5940000000</v>
      </c>
      <c r="AV15" s="9">
        <v>6170000000</v>
      </c>
    </row>
    <row r="16" spans="1:48" x14ac:dyDescent="0.2">
      <c r="A16" s="1" t="s">
        <v>14</v>
      </c>
      <c r="B16" s="9"/>
      <c r="C16" s="9"/>
      <c r="D16" s="9"/>
      <c r="E16" s="9"/>
      <c r="F16" s="9"/>
      <c r="G16" s="9"/>
      <c r="H16" s="9"/>
      <c r="I16" s="9"/>
      <c r="J16" s="9"/>
      <c r="K16" s="9"/>
      <c r="L16" s="9"/>
      <c r="M16" s="9"/>
      <c r="N16" s="9"/>
      <c r="O16" s="9"/>
      <c r="P16" s="9"/>
      <c r="Q16" s="9"/>
      <c r="R16" s="9"/>
      <c r="S16" s="9"/>
      <c r="T16" s="9"/>
      <c r="U16" s="9"/>
      <c r="V16" s="9">
        <v>5260000000</v>
      </c>
      <c r="W16" s="9">
        <v>4300000000</v>
      </c>
      <c r="X16" s="9">
        <v>3820000000</v>
      </c>
      <c r="Y16" s="9">
        <v>3410000000</v>
      </c>
      <c r="Z16" s="9">
        <v>2830000000</v>
      </c>
      <c r="AA16" s="9">
        <v>2060000000</v>
      </c>
      <c r="AB16" s="9">
        <v>2150000000</v>
      </c>
      <c r="AC16" s="9">
        <v>1940000000</v>
      </c>
      <c r="AD16" s="9">
        <v>2270000000</v>
      </c>
      <c r="AE16" s="9">
        <v>2290000000</v>
      </c>
      <c r="AF16" s="9">
        <v>2180000000</v>
      </c>
      <c r="AG16" s="9">
        <v>2230000000</v>
      </c>
      <c r="AH16" s="9">
        <v>2330000000</v>
      </c>
      <c r="AI16" s="9">
        <v>2870000000</v>
      </c>
      <c r="AJ16" s="9">
        <v>3090000000</v>
      </c>
      <c r="AK16" s="9">
        <v>3340000000</v>
      </c>
      <c r="AL16" s="9">
        <v>3980000000</v>
      </c>
      <c r="AM16" s="9">
        <v>4090000000</v>
      </c>
      <c r="AN16" s="9">
        <v>4610000000</v>
      </c>
      <c r="AO16" s="9">
        <v>3950000000</v>
      </c>
      <c r="AP16" s="9">
        <v>4060000000</v>
      </c>
      <c r="AQ16" s="9">
        <v>4430000000</v>
      </c>
      <c r="AR16" s="9">
        <v>4930000000</v>
      </c>
      <c r="AS16" s="9">
        <v>5320000000</v>
      </c>
      <c r="AT16" s="9">
        <v>5480000000</v>
      </c>
      <c r="AU16" s="9">
        <v>5430000000</v>
      </c>
      <c r="AV16" s="9">
        <v>5840000000</v>
      </c>
    </row>
    <row r="17" spans="1:48" x14ac:dyDescent="0.2">
      <c r="A17" s="1" t="s">
        <v>20</v>
      </c>
      <c r="B17" s="9"/>
      <c r="C17" s="9"/>
      <c r="D17" s="9"/>
      <c r="E17" s="9"/>
      <c r="F17" s="9"/>
      <c r="G17" s="9"/>
      <c r="H17" s="9"/>
      <c r="I17" s="9"/>
      <c r="J17" s="9"/>
      <c r="K17" s="9"/>
      <c r="L17" s="9"/>
      <c r="M17" s="9"/>
      <c r="N17" s="9"/>
      <c r="O17" s="9"/>
      <c r="P17" s="9"/>
      <c r="Q17" s="9"/>
      <c r="R17" s="9"/>
      <c r="S17" s="9"/>
      <c r="T17" s="9"/>
      <c r="U17" s="9"/>
      <c r="V17" s="9">
        <v>21100000000</v>
      </c>
      <c r="W17" s="9">
        <v>15600000000</v>
      </c>
      <c r="X17" s="9">
        <v>8850000000</v>
      </c>
      <c r="Y17" s="9">
        <v>8190000000</v>
      </c>
      <c r="Z17" s="9">
        <v>8460000000</v>
      </c>
      <c r="AA17" s="9">
        <v>8310000000</v>
      </c>
      <c r="AB17" s="9">
        <v>8740000000</v>
      </c>
      <c r="AC17" s="9">
        <v>9200000000</v>
      </c>
      <c r="AD17" s="9">
        <v>9280000000</v>
      </c>
      <c r="AE17" s="9">
        <v>9620000000</v>
      </c>
      <c r="AF17" s="9">
        <v>9850000000</v>
      </c>
      <c r="AG17" s="9">
        <v>10400000000</v>
      </c>
      <c r="AH17" s="9">
        <v>11000000000</v>
      </c>
      <c r="AI17" s="9">
        <v>11900000000</v>
      </c>
      <c r="AJ17" s="9">
        <v>13200000000</v>
      </c>
      <c r="AK17" s="9">
        <v>14500000000</v>
      </c>
      <c r="AL17" s="9">
        <v>17300000000</v>
      </c>
      <c r="AM17" s="9">
        <v>19100000000</v>
      </c>
      <c r="AN17" s="9">
        <v>17600000000</v>
      </c>
      <c r="AO17" s="9">
        <v>14700000000</v>
      </c>
      <c r="AP17" s="9">
        <v>15200000000</v>
      </c>
      <c r="AQ17" s="9">
        <v>15600000000</v>
      </c>
      <c r="AR17" s="9">
        <v>16100000000</v>
      </c>
      <c r="AS17" s="9">
        <v>16900000000</v>
      </c>
      <c r="AT17" s="9">
        <v>17100000000</v>
      </c>
      <c r="AU17" s="9">
        <v>17600000000</v>
      </c>
      <c r="AV17" s="9">
        <v>18200000000</v>
      </c>
    </row>
    <row r="18" spans="1:48" x14ac:dyDescent="0.2">
      <c r="A18" s="1" t="s">
        <v>21</v>
      </c>
      <c r="B18" s="9"/>
      <c r="C18" s="9"/>
      <c r="D18" s="9"/>
      <c r="E18" s="9"/>
      <c r="F18" s="9"/>
      <c r="G18" s="9"/>
      <c r="H18" s="9"/>
      <c r="I18" s="9"/>
      <c r="J18" s="9"/>
      <c r="K18" s="9"/>
      <c r="L18" s="9"/>
      <c r="M18" s="9"/>
      <c r="N18" s="9"/>
      <c r="O18" s="9"/>
      <c r="P18" s="9"/>
      <c r="Q18" s="9"/>
      <c r="R18" s="9"/>
      <c r="S18" s="9"/>
      <c r="T18" s="9"/>
      <c r="U18" s="9"/>
      <c r="V18" s="9">
        <v>17000000000</v>
      </c>
      <c r="W18" s="9">
        <v>15900000000</v>
      </c>
      <c r="X18" s="9">
        <v>15100000000</v>
      </c>
      <c r="Y18" s="9">
        <v>13600000000</v>
      </c>
      <c r="Z18" s="9">
        <v>11400000000</v>
      </c>
      <c r="AA18" s="9">
        <v>11600000000</v>
      </c>
      <c r="AB18" s="9">
        <v>12300000000</v>
      </c>
      <c r="AC18" s="9">
        <v>13000000000</v>
      </c>
      <c r="AD18" s="9">
        <v>13600000000</v>
      </c>
      <c r="AE18" s="9">
        <v>14300000000</v>
      </c>
      <c r="AF18" s="9">
        <v>15300000000</v>
      </c>
      <c r="AG18" s="9">
        <v>16000000000</v>
      </c>
      <c r="AH18" s="9">
        <v>17000000000</v>
      </c>
      <c r="AI18" s="9">
        <v>18900000000</v>
      </c>
      <c r="AJ18" s="9">
        <v>20900000000</v>
      </c>
      <c r="AK18" s="9">
        <v>23400000000</v>
      </c>
      <c r="AL18" s="9">
        <v>25500000000</v>
      </c>
      <c r="AM18" s="9">
        <v>28700000000</v>
      </c>
      <c r="AN18" s="9">
        <v>29800000000</v>
      </c>
      <c r="AO18" s="9">
        <v>24600000000</v>
      </c>
      <c r="AP18" s="9">
        <v>23800000000</v>
      </c>
      <c r="AQ18" s="9">
        <v>24900000000</v>
      </c>
      <c r="AR18" s="9">
        <v>25600000000</v>
      </c>
      <c r="AS18" s="9">
        <v>26700000000</v>
      </c>
      <c r="AT18" s="9">
        <v>27800000000</v>
      </c>
      <c r="AU18" s="9">
        <v>28900000000</v>
      </c>
      <c r="AV18" s="9">
        <v>30300000000</v>
      </c>
    </row>
    <row r="19" spans="1:48" x14ac:dyDescent="0.2">
      <c r="A19" s="9" t="s">
        <v>15</v>
      </c>
      <c r="B19" s="9"/>
      <c r="C19" s="9"/>
      <c r="D19" s="9"/>
      <c r="E19" s="9"/>
      <c r="F19" s="9"/>
      <c r="G19" s="9"/>
      <c r="H19" s="9"/>
      <c r="I19" s="9"/>
      <c r="J19" s="9"/>
      <c r="K19" s="9"/>
      <c r="L19" s="9"/>
      <c r="M19" s="9"/>
      <c r="N19" s="9"/>
      <c r="O19" s="9"/>
      <c r="P19" s="9"/>
      <c r="Q19" s="9"/>
      <c r="R19" s="9"/>
      <c r="S19" s="9"/>
      <c r="T19" s="9"/>
      <c r="U19" s="9"/>
      <c r="V19" s="9">
        <v>3840000000</v>
      </c>
      <c r="W19" s="9">
        <v>3590000000</v>
      </c>
      <c r="X19" s="9">
        <v>3270000000</v>
      </c>
      <c r="Y19" s="9">
        <v>3600000000</v>
      </c>
      <c r="Z19" s="9">
        <v>3980000000</v>
      </c>
      <c r="AA19" s="9">
        <v>3880000000</v>
      </c>
      <c r="AB19" s="9">
        <v>4010000000</v>
      </c>
      <c r="AC19" s="9">
        <v>4160000000</v>
      </c>
      <c r="AD19" s="9">
        <v>4310000000</v>
      </c>
      <c r="AE19" s="9">
        <v>4490000000</v>
      </c>
      <c r="AF19" s="9">
        <v>5090000000</v>
      </c>
      <c r="AG19" s="9">
        <v>4580000000</v>
      </c>
      <c r="AH19" s="9">
        <v>5030000000</v>
      </c>
      <c r="AI19" s="9">
        <v>5260000000</v>
      </c>
      <c r="AJ19" s="9">
        <v>5650000000</v>
      </c>
      <c r="AK19" s="9">
        <v>6060000000</v>
      </c>
      <c r="AL19" s="9">
        <v>6280000000</v>
      </c>
      <c r="AM19" s="9">
        <v>6760000000</v>
      </c>
      <c r="AN19" s="9">
        <v>7080000000</v>
      </c>
      <c r="AO19" s="9">
        <v>6850000000</v>
      </c>
      <c r="AP19" s="9">
        <v>7110000000</v>
      </c>
      <c r="AQ19" s="9">
        <v>6730000000</v>
      </c>
      <c r="AR19" s="9">
        <v>6810000000</v>
      </c>
      <c r="AS19" s="9">
        <v>6930000000</v>
      </c>
      <c r="AT19" s="9">
        <v>7090000000</v>
      </c>
      <c r="AU19" s="9">
        <v>7400000000</v>
      </c>
      <c r="AV19" s="9">
        <v>7630000000</v>
      </c>
    </row>
    <row r="20" spans="1:48" x14ac:dyDescent="0.2">
      <c r="A20" s="1" t="s">
        <v>16</v>
      </c>
      <c r="B20" s="9"/>
      <c r="C20" s="9"/>
      <c r="D20" s="9"/>
      <c r="E20" s="9"/>
      <c r="F20" s="9"/>
      <c r="G20" s="9"/>
      <c r="H20" s="9"/>
      <c r="I20" s="9"/>
      <c r="J20" s="9"/>
      <c r="K20" s="9"/>
      <c r="L20" s="9"/>
      <c r="M20" s="9"/>
      <c r="N20" s="9"/>
      <c r="O20" s="9"/>
      <c r="P20" s="9"/>
      <c r="Q20" s="9"/>
      <c r="R20" s="9"/>
      <c r="S20" s="9"/>
      <c r="T20" s="9"/>
      <c r="U20" s="9"/>
      <c r="V20" s="9">
        <v>6110000000</v>
      </c>
      <c r="W20" s="9">
        <v>4490000000</v>
      </c>
      <c r="X20" s="9">
        <v>2380000000</v>
      </c>
      <c r="Y20" s="9">
        <v>2310000000</v>
      </c>
      <c r="Z20" s="9">
        <v>1730000000</v>
      </c>
      <c r="AA20" s="9">
        <v>1870000000</v>
      </c>
      <c r="AB20" s="9">
        <v>2220000000</v>
      </c>
      <c r="AC20" s="9">
        <v>2440000000</v>
      </c>
      <c r="AD20" s="9">
        <v>2560000000</v>
      </c>
      <c r="AE20" s="9">
        <v>2340000000</v>
      </c>
      <c r="AF20" s="9">
        <v>2830000000</v>
      </c>
      <c r="AG20" s="9">
        <v>3000000000</v>
      </c>
      <c r="AH20" s="9">
        <v>3190000000</v>
      </c>
      <c r="AI20" s="9">
        <v>3780000000</v>
      </c>
      <c r="AJ20" s="9">
        <v>4020000000</v>
      </c>
      <c r="AK20" s="9">
        <v>4570000000</v>
      </c>
      <c r="AL20" s="9">
        <v>4930000000</v>
      </c>
      <c r="AM20" s="9">
        <v>5100000000</v>
      </c>
      <c r="AN20" s="9">
        <v>5400000000</v>
      </c>
      <c r="AO20" s="9">
        <v>4970000000</v>
      </c>
      <c r="AP20" s="9">
        <v>5440000000</v>
      </c>
      <c r="AQ20" s="9">
        <v>5950000000</v>
      </c>
      <c r="AR20" s="9">
        <v>6010000000</v>
      </c>
      <c r="AS20" s="9">
        <v>6390000000</v>
      </c>
      <c r="AT20" s="9">
        <v>6610000000</v>
      </c>
      <c r="AU20" s="9">
        <v>6460000000</v>
      </c>
      <c r="AV20" s="9">
        <v>6700000000</v>
      </c>
    </row>
    <row r="21" spans="1:48" x14ac:dyDescent="0.2">
      <c r="A21" s="1" t="s">
        <v>24</v>
      </c>
      <c r="B21" s="9"/>
      <c r="C21" s="9"/>
      <c r="D21" s="9"/>
      <c r="E21" s="9"/>
      <c r="F21" s="9"/>
      <c r="G21" s="9"/>
      <c r="H21" s="9"/>
      <c r="I21" s="9"/>
      <c r="J21" s="9"/>
      <c r="K21" s="9"/>
      <c r="L21" s="9"/>
      <c r="M21" s="9"/>
      <c r="N21" s="9"/>
      <c r="O21" s="9"/>
      <c r="P21" s="9"/>
      <c r="Q21" s="9"/>
      <c r="R21" s="9"/>
      <c r="S21" s="9"/>
      <c r="T21" s="9"/>
      <c r="U21" s="9"/>
      <c r="V21" s="9">
        <v>3130000000</v>
      </c>
      <c r="W21" s="9">
        <v>2790000000</v>
      </c>
      <c r="X21" s="9">
        <v>2140000000</v>
      </c>
      <c r="Y21" s="9">
        <v>1360000000</v>
      </c>
      <c r="Z21" s="9">
        <v>1370000000</v>
      </c>
      <c r="AA21" s="9">
        <v>1570000000</v>
      </c>
      <c r="AB21" s="9">
        <v>2010000000</v>
      </c>
      <c r="AC21" s="9">
        <v>2130000000</v>
      </c>
      <c r="AD21" s="9">
        <v>2240000000</v>
      </c>
      <c r="AE21" s="9">
        <v>2070000000</v>
      </c>
      <c r="AF21" s="9">
        <v>2280000000</v>
      </c>
      <c r="AG21" s="9">
        <v>2440000000</v>
      </c>
      <c r="AH21" s="9">
        <v>2510000000</v>
      </c>
      <c r="AI21" s="9">
        <v>2330000000</v>
      </c>
      <c r="AJ21" s="9">
        <v>2410000000</v>
      </c>
      <c r="AK21" s="9">
        <v>2450000000</v>
      </c>
      <c r="AL21" s="9">
        <v>3120000000</v>
      </c>
      <c r="AM21" s="9">
        <v>3480000000</v>
      </c>
      <c r="AN21" s="9">
        <v>3870000000</v>
      </c>
      <c r="AO21" s="9">
        <v>3320000000</v>
      </c>
      <c r="AP21" s="9">
        <v>3390000000</v>
      </c>
      <c r="AQ21" s="9">
        <v>3400000000</v>
      </c>
      <c r="AR21" s="9">
        <v>3270000000</v>
      </c>
      <c r="AS21" s="9">
        <v>3320000000</v>
      </c>
      <c r="AT21" s="9">
        <v>3420000000</v>
      </c>
      <c r="AU21" s="9">
        <v>3490000000</v>
      </c>
      <c r="AV21" s="9">
        <v>3680000000</v>
      </c>
    </row>
    <row r="22" spans="1:48" x14ac:dyDescent="0.2">
      <c r="A22" s="1" t="s">
        <v>11</v>
      </c>
      <c r="B22" s="9">
        <v>89000000000</v>
      </c>
      <c r="C22" s="9">
        <v>95700000000</v>
      </c>
      <c r="D22" s="9">
        <v>100000000000</v>
      </c>
      <c r="E22" s="9">
        <v>104000000000</v>
      </c>
      <c r="F22" s="9">
        <v>111000000000</v>
      </c>
      <c r="G22" s="9">
        <v>118000000000</v>
      </c>
      <c r="H22" s="9">
        <v>129000000000</v>
      </c>
      <c r="I22" s="9">
        <v>137000000000</v>
      </c>
      <c r="J22" s="9">
        <v>143000000000</v>
      </c>
      <c r="K22" s="9">
        <v>148000000000</v>
      </c>
      <c r="L22" s="9">
        <v>141000000000</v>
      </c>
      <c r="M22" s="9">
        <v>135000000000</v>
      </c>
      <c r="N22" s="9">
        <v>115000000000</v>
      </c>
      <c r="O22" s="9">
        <v>122000000000</v>
      </c>
      <c r="P22" s="9">
        <v>128000000000</v>
      </c>
      <c r="Q22" s="9">
        <v>131000000000</v>
      </c>
      <c r="R22" s="9">
        <v>138000000000</v>
      </c>
      <c r="S22" s="9">
        <v>142000000000</v>
      </c>
      <c r="T22" s="9">
        <v>147000000000</v>
      </c>
      <c r="U22" s="9">
        <v>146000000000</v>
      </c>
      <c r="V22" s="9">
        <v>125000000000</v>
      </c>
      <c r="W22" s="9">
        <v>133000000000</v>
      </c>
      <c r="X22" s="9">
        <v>136000000000</v>
      </c>
      <c r="Y22" s="9">
        <v>144000000000</v>
      </c>
      <c r="Z22" s="9">
        <v>149000000000</v>
      </c>
      <c r="AA22" s="9">
        <v>155000000000</v>
      </c>
      <c r="AB22" s="9">
        <v>168000000000</v>
      </c>
      <c r="AC22" s="9">
        <v>180000000000</v>
      </c>
      <c r="AD22" s="9">
        <v>189000000000</v>
      </c>
      <c r="AE22" s="9">
        <v>200000000000</v>
      </c>
      <c r="AF22" s="9">
        <v>205000000000</v>
      </c>
      <c r="AG22" s="9">
        <v>209000000000</v>
      </c>
      <c r="AH22" s="9">
        <v>218000000000</v>
      </c>
      <c r="AI22" s="9">
        <v>221000000000</v>
      </c>
      <c r="AJ22" s="9">
        <v>230000000000</v>
      </c>
      <c r="AK22" s="9">
        <v>235000000000</v>
      </c>
      <c r="AL22" s="9">
        <v>246000000000</v>
      </c>
      <c r="AM22" s="9">
        <v>260000000000</v>
      </c>
      <c r="AN22" s="9">
        <v>277000000000</v>
      </c>
      <c r="AO22" s="9">
        <v>287000000000</v>
      </c>
      <c r="AP22" s="9">
        <v>295000000000</v>
      </c>
      <c r="AQ22" s="9">
        <v>304000000000</v>
      </c>
      <c r="AR22" s="9">
        <v>307000000000</v>
      </c>
      <c r="AS22" s="9">
        <v>308000000000</v>
      </c>
      <c r="AT22" s="9">
        <v>315000000000</v>
      </c>
      <c r="AU22" s="9">
        <v>324000000000</v>
      </c>
      <c r="AV22" s="9">
        <v>337000000000</v>
      </c>
    </row>
    <row r="23" spans="1:48" x14ac:dyDescent="0.2">
      <c r="A23" s="1" t="s">
        <v>17</v>
      </c>
      <c r="B23" s="9">
        <v>19300000000</v>
      </c>
      <c r="C23" s="9">
        <v>20900000000</v>
      </c>
      <c r="D23" s="9">
        <v>22700000000</v>
      </c>
      <c r="E23" s="9">
        <v>24600000000</v>
      </c>
      <c r="F23" s="9">
        <v>27000000000</v>
      </c>
      <c r="G23" s="9">
        <v>30100000000</v>
      </c>
      <c r="H23" s="9">
        <v>31900000000</v>
      </c>
      <c r="I23" s="9">
        <v>34100000000</v>
      </c>
      <c r="J23" s="9">
        <v>38300000000</v>
      </c>
      <c r="K23" s="9">
        <v>40500000000</v>
      </c>
      <c r="L23" s="9">
        <v>44900000000</v>
      </c>
      <c r="M23" s="9">
        <v>45800000000</v>
      </c>
      <c r="N23" s="9">
        <v>46000000000</v>
      </c>
      <c r="O23" s="9">
        <v>45700000000</v>
      </c>
      <c r="P23" s="9">
        <v>47500000000</v>
      </c>
      <c r="Q23" s="9">
        <v>46700000000</v>
      </c>
      <c r="R23" s="9">
        <v>47300000000</v>
      </c>
      <c r="S23" s="9">
        <v>49800000000</v>
      </c>
      <c r="T23" s="9">
        <v>50800000000</v>
      </c>
      <c r="U23" s="9">
        <v>51100000000</v>
      </c>
      <c r="V23" s="9">
        <v>55100000000</v>
      </c>
      <c r="W23" s="9">
        <v>46100000000</v>
      </c>
      <c r="X23" s="9">
        <v>42600000000</v>
      </c>
      <c r="Y23" s="9">
        <v>43000000000</v>
      </c>
      <c r="Z23" s="9">
        <v>43900000000</v>
      </c>
      <c r="AA23" s="9">
        <v>49600000000</v>
      </c>
      <c r="AB23" s="9">
        <v>53700000000</v>
      </c>
      <c r="AC23" s="9">
        <v>51300000000</v>
      </c>
      <c r="AD23" s="9">
        <v>54500000000</v>
      </c>
      <c r="AE23" s="9">
        <v>52300000000</v>
      </c>
      <c r="AF23" s="9">
        <v>53100000000</v>
      </c>
      <c r="AG23" s="9">
        <v>58200000000</v>
      </c>
      <c r="AH23" s="9">
        <v>61700000000</v>
      </c>
      <c r="AI23" s="9">
        <v>66800000000</v>
      </c>
      <c r="AJ23" s="9">
        <v>77400000000</v>
      </c>
      <c r="AK23" s="9">
        <v>85200000000</v>
      </c>
      <c r="AL23" s="9">
        <v>96000000000</v>
      </c>
      <c r="AM23" s="9">
        <v>109000000000</v>
      </c>
      <c r="AN23" s="9">
        <v>117000000000</v>
      </c>
      <c r="AO23" s="9">
        <v>106000000000</v>
      </c>
      <c r="AP23" s="9">
        <v>107000000000</v>
      </c>
      <c r="AQ23" s="9">
        <v>107000000000</v>
      </c>
      <c r="AR23" s="9">
        <v>109000000000</v>
      </c>
      <c r="AS23" s="9">
        <v>109000000000</v>
      </c>
      <c r="AT23" s="9">
        <v>114000000000</v>
      </c>
      <c r="AU23" s="9">
        <v>121000000000</v>
      </c>
      <c r="AV23" s="9">
        <v>130000000000</v>
      </c>
    </row>
    <row r="24" spans="1:48" x14ac:dyDescent="0.2">
      <c r="A24" s="1" t="s">
        <v>38</v>
      </c>
      <c r="C24" s="9"/>
      <c r="D24" s="9"/>
      <c r="E24" s="9"/>
      <c r="F24" s="9"/>
      <c r="G24" s="9"/>
      <c r="H24" s="9"/>
      <c r="I24" s="9"/>
      <c r="J24" s="9"/>
      <c r="K24" s="9"/>
      <c r="L24" s="9"/>
      <c r="M24" s="9"/>
      <c r="N24" s="9"/>
      <c r="O24" s="9"/>
      <c r="P24" s="9"/>
      <c r="Q24" s="9"/>
      <c r="R24" s="9"/>
      <c r="S24" s="9"/>
      <c r="T24" s="9"/>
      <c r="U24" s="9"/>
      <c r="V24" s="9">
        <v>383000000000</v>
      </c>
      <c r="W24" s="9">
        <v>372000000000</v>
      </c>
      <c r="X24" s="9">
        <v>361000000000</v>
      </c>
      <c r="Y24" s="9">
        <v>365000000000</v>
      </c>
      <c r="Z24" s="9">
        <v>362000000000</v>
      </c>
      <c r="AA24" s="9">
        <v>348000000000</v>
      </c>
      <c r="AB24" s="9">
        <v>331000000000</v>
      </c>
      <c r="AC24" s="9">
        <v>347000000000</v>
      </c>
      <c r="AD24" s="9">
        <v>336000000000</v>
      </c>
      <c r="AE24" s="9">
        <v>326000000000</v>
      </c>
      <c r="AF24" s="9">
        <v>349000000000</v>
      </c>
      <c r="AG24" s="9">
        <v>382000000000</v>
      </c>
      <c r="AH24" s="9">
        <v>414000000000</v>
      </c>
      <c r="AI24" s="9">
        <v>445000000000</v>
      </c>
      <c r="AJ24" s="9">
        <v>498000000000</v>
      </c>
      <c r="AK24" s="9">
        <v>556000000000</v>
      </c>
      <c r="AL24" s="9">
        <v>622000000000</v>
      </c>
      <c r="AM24" s="9">
        <v>711000000000</v>
      </c>
      <c r="AN24" s="9">
        <v>785000000000</v>
      </c>
      <c r="AO24" s="9">
        <v>744000000000</v>
      </c>
      <c r="AP24" s="9">
        <v>785000000000</v>
      </c>
      <c r="AQ24" s="9">
        <v>838000000000</v>
      </c>
      <c r="AR24" s="9">
        <v>900000000000</v>
      </c>
      <c r="AS24" s="9">
        <v>939000000000</v>
      </c>
      <c r="AT24" s="9">
        <v>956000000000</v>
      </c>
      <c r="AU24" s="9">
        <v>864000000000</v>
      </c>
      <c r="AV24" s="9">
        <v>825000000000</v>
      </c>
    </row>
    <row r="25" spans="1:48" x14ac:dyDescent="0.2">
      <c r="A25" s="1" t="s">
        <v>19</v>
      </c>
      <c r="B25" s="9"/>
      <c r="C25" s="9"/>
      <c r="D25" s="9"/>
      <c r="E25" s="9"/>
      <c r="F25" s="9"/>
      <c r="G25" s="9"/>
      <c r="H25" s="9"/>
      <c r="I25" s="9"/>
      <c r="J25" s="9"/>
      <c r="K25" s="9"/>
      <c r="L25" s="9"/>
      <c r="M25" s="9"/>
      <c r="N25" s="9"/>
      <c r="O25" s="9"/>
      <c r="P25" s="9"/>
      <c r="Q25" s="9"/>
      <c r="R25" s="9"/>
      <c r="S25" s="9"/>
      <c r="T25" s="9"/>
      <c r="U25" s="9"/>
      <c r="V25" s="9">
        <v>33300000000</v>
      </c>
      <c r="W25" s="9">
        <v>29400000000</v>
      </c>
      <c r="X25" s="9">
        <v>21100000000</v>
      </c>
      <c r="Y25" s="9">
        <v>14700000000</v>
      </c>
      <c r="Z25" s="9">
        <v>15100000000</v>
      </c>
      <c r="AA25" s="9">
        <v>15900000000</v>
      </c>
      <c r="AB25" s="9">
        <v>16500000000</v>
      </c>
      <c r="AC25" s="9">
        <v>18500000000</v>
      </c>
      <c r="AD25" s="9">
        <v>19100000000</v>
      </c>
      <c r="AE25" s="9">
        <v>16800000000</v>
      </c>
      <c r="AF25" s="9">
        <v>18100000000</v>
      </c>
      <c r="AG25" s="9">
        <v>19200000000</v>
      </c>
      <c r="AH25" s="9">
        <v>20700000000</v>
      </c>
      <c r="AI25" s="9">
        <v>21800000000</v>
      </c>
      <c r="AJ25" s="9">
        <v>24300000000</v>
      </c>
      <c r="AK25" s="9">
        <v>25800000000</v>
      </c>
      <c r="AL25" s="9">
        <v>27500000000</v>
      </c>
      <c r="AM25" s="9">
        <v>29300000000</v>
      </c>
      <c r="AN25" s="9">
        <v>31000000000</v>
      </c>
      <c r="AO25" s="9">
        <v>31000000000</v>
      </c>
      <c r="AP25" s="9">
        <v>30800000000</v>
      </c>
      <c r="AQ25" s="9">
        <v>31100000000</v>
      </c>
      <c r="AR25" s="9">
        <v>30500000000</v>
      </c>
      <c r="AS25" s="9">
        <v>30300000000</v>
      </c>
      <c r="AT25" s="9">
        <v>29900000000</v>
      </c>
      <c r="AU25" s="9">
        <v>30000000000</v>
      </c>
      <c r="AV25" s="9">
        <v>30300000000</v>
      </c>
    </row>
    <row r="26" spans="1:48" x14ac:dyDescent="0.2">
      <c r="A26" s="1" t="s">
        <v>4</v>
      </c>
      <c r="B26" s="9"/>
      <c r="C26" s="9"/>
      <c r="D26" s="9"/>
      <c r="E26" s="9"/>
      <c r="F26" s="9"/>
      <c r="G26" s="9"/>
      <c r="H26" s="9"/>
      <c r="I26" s="9"/>
      <c r="J26" s="9"/>
      <c r="K26" s="9"/>
      <c r="L26" s="9"/>
      <c r="M26" s="9"/>
      <c r="N26" s="9"/>
      <c r="O26" s="9"/>
      <c r="P26" s="9"/>
      <c r="Q26" s="9"/>
      <c r="R26" s="9"/>
      <c r="S26" s="9"/>
      <c r="T26" s="9"/>
      <c r="U26" s="9"/>
      <c r="V26" s="9">
        <v>34500000000</v>
      </c>
      <c r="W26" s="9">
        <v>24700000000</v>
      </c>
      <c r="X26" s="9">
        <v>23100000000</v>
      </c>
      <c r="Y26" s="9">
        <v>24900000000</v>
      </c>
      <c r="Z26" s="9">
        <v>25200000000</v>
      </c>
      <c r="AA26" s="9">
        <v>26500000000</v>
      </c>
      <c r="AB26" s="9">
        <v>28900000000</v>
      </c>
      <c r="AC26" s="9">
        <v>31200000000</v>
      </c>
      <c r="AD26" s="9">
        <v>33100000000</v>
      </c>
      <c r="AE26" s="9">
        <v>33100000000</v>
      </c>
      <c r="AF26" s="9">
        <v>33800000000</v>
      </c>
      <c r="AG26" s="9">
        <v>35500000000</v>
      </c>
      <c r="AH26" s="9">
        <v>37500000000</v>
      </c>
      <c r="AI26" s="9">
        <v>38600000000</v>
      </c>
      <c r="AJ26" s="9">
        <v>40500000000</v>
      </c>
      <c r="AK26" s="9">
        <v>42900000000</v>
      </c>
      <c r="AL26" s="9">
        <v>45500000000</v>
      </c>
      <c r="AM26" s="9">
        <v>48900000000</v>
      </c>
      <c r="AN26" s="9">
        <v>51800000000</v>
      </c>
      <c r="AO26" s="9">
        <v>51600000000</v>
      </c>
      <c r="AP26" s="9">
        <v>51800000000</v>
      </c>
      <c r="AQ26" s="9">
        <v>51500000000</v>
      </c>
      <c r="AR26" s="9">
        <v>51300000000</v>
      </c>
      <c r="AS26" s="9">
        <v>50900000000</v>
      </c>
      <c r="AT26" s="9">
        <v>51600000000</v>
      </c>
      <c r="AU26" s="9">
        <v>52700000000</v>
      </c>
      <c r="AV26" s="9">
        <v>54100000000</v>
      </c>
    </row>
    <row r="27" spans="1:48" x14ac:dyDescent="0.2">
      <c r="A27" s="1" t="s">
        <v>6</v>
      </c>
      <c r="B27" s="9"/>
      <c r="C27" s="9"/>
      <c r="D27" s="9"/>
      <c r="E27" s="9"/>
      <c r="F27" s="9"/>
      <c r="G27" s="9"/>
      <c r="H27" s="9"/>
      <c r="I27" s="9"/>
      <c r="J27" s="9"/>
      <c r="K27" s="9"/>
      <c r="L27" s="9"/>
      <c r="M27" s="9"/>
      <c r="N27" s="9"/>
      <c r="O27" s="9"/>
      <c r="P27" s="9"/>
      <c r="Q27" s="9"/>
      <c r="R27" s="9"/>
      <c r="S27" s="9"/>
      <c r="T27" s="9"/>
      <c r="U27" s="9"/>
      <c r="V27" s="9">
        <v>16100000000</v>
      </c>
      <c r="W27" s="9">
        <v>14300000000</v>
      </c>
      <c r="X27" s="9">
        <v>13800000000</v>
      </c>
      <c r="Y27" s="9">
        <v>15700000000</v>
      </c>
      <c r="Z27" s="9">
        <v>16300000000</v>
      </c>
      <c r="AA27" s="9">
        <v>17800000000</v>
      </c>
      <c r="AB27" s="9">
        <v>18400000000</v>
      </c>
      <c r="AC27" s="9">
        <v>18900000000</v>
      </c>
      <c r="AD27" s="9">
        <v>19500000000</v>
      </c>
      <c r="AE27" s="9">
        <v>20800000000</v>
      </c>
      <c r="AF27" s="9">
        <v>20900000000</v>
      </c>
      <c r="AG27" s="9">
        <v>21400000000</v>
      </c>
      <c r="AH27" s="9">
        <v>21900000000</v>
      </c>
      <c r="AI27" s="9">
        <v>22700000000</v>
      </c>
      <c r="AJ27" s="9">
        <v>23400000000</v>
      </c>
      <c r="AK27" s="9">
        <v>23900000000</v>
      </c>
      <c r="AL27" s="9">
        <v>24200000000</v>
      </c>
      <c r="AM27" s="9">
        <v>25700000000</v>
      </c>
      <c r="AN27" s="9">
        <v>26300000000</v>
      </c>
      <c r="AO27" s="9">
        <v>26600000000</v>
      </c>
      <c r="AP27" s="9">
        <v>26900000000</v>
      </c>
      <c r="AQ27" s="9">
        <v>26900000000</v>
      </c>
      <c r="AR27" s="9">
        <v>26200000000</v>
      </c>
      <c r="AS27" s="9">
        <v>25200000000</v>
      </c>
      <c r="AT27" s="9">
        <v>25700000000</v>
      </c>
      <c r="AU27" s="9">
        <v>26200000000</v>
      </c>
      <c r="AV27" s="9">
        <v>27300000000</v>
      </c>
    </row>
    <row r="28" spans="1:48" x14ac:dyDescent="0.2">
      <c r="A28" s="1" t="s">
        <v>40</v>
      </c>
      <c r="B28" s="9">
        <v>46000000000</v>
      </c>
      <c r="C28" s="9">
        <v>49400000000</v>
      </c>
      <c r="D28" s="9">
        <v>52700000000</v>
      </c>
      <c r="E28" s="9">
        <v>53700000000</v>
      </c>
      <c r="F28" s="9">
        <v>59300000000</v>
      </c>
      <c r="G28" s="9">
        <v>58900000000</v>
      </c>
      <c r="H28" s="9">
        <v>62500000000</v>
      </c>
      <c r="I28" s="9">
        <v>67600000000</v>
      </c>
      <c r="J28" s="9">
        <v>74900000000</v>
      </c>
      <c r="K28" s="9">
        <v>78200000000</v>
      </c>
      <c r="L28" s="9">
        <v>78800000000</v>
      </c>
      <c r="M28" s="9">
        <v>79500000000</v>
      </c>
      <c r="N28" s="9">
        <v>80700000000</v>
      </c>
      <c r="O28" s="9">
        <v>81100000000</v>
      </c>
      <c r="P28" s="9">
        <v>80000000000</v>
      </c>
      <c r="Q28" s="9">
        <v>79000000000</v>
      </c>
      <c r="R28" s="9">
        <v>83200000000</v>
      </c>
      <c r="S28" s="9">
        <v>85100000000</v>
      </c>
      <c r="T28" s="9">
        <v>82800000000</v>
      </c>
      <c r="U28" s="9">
        <v>79600000000</v>
      </c>
      <c r="V28" s="9">
        <v>98000000000</v>
      </c>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x14ac:dyDescent="0.2">
      <c r="A29" s="1" t="s">
        <v>28</v>
      </c>
      <c r="B29" s="9"/>
      <c r="C29" s="9"/>
      <c r="D29" s="9"/>
      <c r="E29" s="9"/>
      <c r="F29" s="9"/>
      <c r="G29" s="9"/>
      <c r="H29" s="9"/>
      <c r="I29" s="9"/>
      <c r="J29" s="9"/>
      <c r="K29" s="9"/>
      <c r="L29" s="9"/>
      <c r="M29" s="9"/>
      <c r="N29" s="9"/>
      <c r="O29" s="9"/>
      <c r="P29" s="9"/>
      <c r="Q29" s="9"/>
      <c r="R29" s="9"/>
      <c r="S29" s="9"/>
      <c r="T29" s="9"/>
      <c r="U29" s="9"/>
      <c r="V29" s="9">
        <v>3150000000</v>
      </c>
      <c r="W29" s="9">
        <v>2940000000</v>
      </c>
      <c r="X29" s="9">
        <v>2110000000</v>
      </c>
      <c r="Y29" s="9">
        <v>1700000000</v>
      </c>
      <c r="Z29" s="9">
        <v>1400000000</v>
      </c>
      <c r="AA29" s="9">
        <v>1240000000</v>
      </c>
      <c r="AB29" s="9">
        <v>877000000</v>
      </c>
      <c r="AC29" s="9">
        <v>1170000000</v>
      </c>
      <c r="AD29" s="9">
        <v>1340000000</v>
      </c>
      <c r="AE29" s="9">
        <v>1220000000</v>
      </c>
      <c r="AF29" s="9">
        <v>1460000000</v>
      </c>
      <c r="AG29" s="9">
        <v>1590000000</v>
      </c>
      <c r="AH29" s="9">
        <v>1800000000</v>
      </c>
      <c r="AI29" s="9">
        <v>2080000000</v>
      </c>
      <c r="AJ29" s="9">
        <v>2360000000</v>
      </c>
      <c r="AK29" s="9">
        <v>2840000000</v>
      </c>
      <c r="AL29" s="9">
        <v>3170000000</v>
      </c>
      <c r="AM29" s="9">
        <v>3710000000</v>
      </c>
      <c r="AN29" s="9">
        <v>4010000000</v>
      </c>
      <c r="AO29" s="9">
        <v>4330000000</v>
      </c>
      <c r="AP29" s="9">
        <v>4780000000</v>
      </c>
      <c r="AQ29" s="9">
        <v>5940000000</v>
      </c>
      <c r="AR29" s="9">
        <v>6830000000</v>
      </c>
      <c r="AS29" s="9">
        <v>7470000000</v>
      </c>
      <c r="AT29" s="9">
        <v>7600000000</v>
      </c>
      <c r="AU29" s="9">
        <v>6460000000</v>
      </c>
      <c r="AV29" s="9">
        <v>8180000000</v>
      </c>
    </row>
    <row r="30" spans="1:48" x14ac:dyDescent="0.2">
      <c r="A30" s="1" t="s">
        <v>32</v>
      </c>
      <c r="C30" s="9"/>
      <c r="D30" s="9"/>
      <c r="E30" s="9"/>
      <c r="F30" s="9"/>
      <c r="G30" s="9"/>
      <c r="H30" s="9"/>
      <c r="I30" s="9"/>
      <c r="J30" s="9"/>
      <c r="K30" s="9"/>
      <c r="L30" s="9"/>
      <c r="M30" s="9"/>
      <c r="N30" s="9"/>
      <c r="O30" s="9"/>
      <c r="P30" s="9"/>
      <c r="Q30" s="9"/>
      <c r="R30" s="9"/>
      <c r="S30" s="9"/>
      <c r="T30" s="9"/>
      <c r="U30" s="9"/>
      <c r="V30" s="9">
        <v>6710000000</v>
      </c>
      <c r="W30" s="9">
        <v>6410000000</v>
      </c>
      <c r="X30" s="9">
        <v>5810000000</v>
      </c>
      <c r="Y30" s="9">
        <v>3690000000</v>
      </c>
      <c r="Z30" s="9">
        <v>4720000000</v>
      </c>
      <c r="AA30" s="9">
        <v>5240000000</v>
      </c>
      <c r="AB30" s="9">
        <v>4540000000</v>
      </c>
      <c r="AC30" s="9">
        <v>5590000000</v>
      </c>
      <c r="AD30" s="9">
        <v>6690000000</v>
      </c>
      <c r="AE30" s="9">
        <v>7720000000</v>
      </c>
      <c r="AF30" s="9">
        <v>3990000000</v>
      </c>
      <c r="AG30" s="9">
        <v>6030000000</v>
      </c>
      <c r="AH30" s="9">
        <v>5140000000</v>
      </c>
      <c r="AI30" s="9">
        <v>6600000000</v>
      </c>
      <c r="AJ30" s="9">
        <v>7580000000</v>
      </c>
      <c r="AK30" s="9">
        <v>6420000000</v>
      </c>
      <c r="AL30" s="9">
        <v>4940000000</v>
      </c>
      <c r="AM30" s="9">
        <v>6130000000</v>
      </c>
      <c r="AN30" s="9">
        <v>7270000000</v>
      </c>
      <c r="AO30" s="9">
        <v>2950000000</v>
      </c>
      <c r="AP30" s="9">
        <v>1140000000</v>
      </c>
      <c r="AQ30" s="9">
        <v>2020000000</v>
      </c>
      <c r="AR30" s="9">
        <v>4340000000</v>
      </c>
      <c r="AS30" s="9">
        <v>2950000000</v>
      </c>
      <c r="AT30" s="9">
        <v>3750000000</v>
      </c>
      <c r="AU30" s="9">
        <v>4360000000</v>
      </c>
      <c r="AV30" s="9">
        <v>4190000000</v>
      </c>
    </row>
    <row r="31" spans="1:48" x14ac:dyDescent="0.2">
      <c r="A31" s="1" t="s">
        <v>8</v>
      </c>
      <c r="B31" s="9"/>
      <c r="C31" s="9"/>
      <c r="D31" s="9"/>
      <c r="E31" s="9"/>
      <c r="F31" s="9"/>
      <c r="G31" s="9"/>
      <c r="H31" s="9"/>
      <c r="I31" s="9"/>
      <c r="J31" s="9"/>
      <c r="K31" s="9"/>
      <c r="L31" s="9"/>
      <c r="M31" s="9"/>
      <c r="N31" s="9"/>
      <c r="O31" s="9"/>
      <c r="P31" s="9"/>
      <c r="Q31" s="9"/>
      <c r="R31" s="9"/>
      <c r="S31" s="9"/>
      <c r="T31" s="9"/>
      <c r="U31" s="9"/>
      <c r="V31" s="9">
        <v>78600000000</v>
      </c>
      <c r="W31" s="9">
        <v>72100000000</v>
      </c>
      <c r="X31" s="9">
        <v>65600000000</v>
      </c>
      <c r="Y31" s="9">
        <v>48100000000</v>
      </c>
      <c r="Z31" s="9">
        <v>43800000000</v>
      </c>
      <c r="AA31" s="9">
        <v>43000000000</v>
      </c>
      <c r="AB31" s="9">
        <v>38900000000</v>
      </c>
      <c r="AC31" s="9">
        <v>38400000000</v>
      </c>
      <c r="AD31" s="9">
        <v>38900000000</v>
      </c>
      <c r="AE31" s="9">
        <v>38000000000</v>
      </c>
      <c r="AF31" s="9">
        <v>38900000000</v>
      </c>
      <c r="AG31" s="9">
        <v>42200000000</v>
      </c>
      <c r="AH31" s="9">
        <v>45400000000</v>
      </c>
      <c r="AI31" s="9">
        <v>50200000000</v>
      </c>
      <c r="AJ31" s="9">
        <v>56000000000</v>
      </c>
      <c r="AK31" s="9">
        <v>66900000000</v>
      </c>
      <c r="AL31" s="9">
        <v>77200000000</v>
      </c>
      <c r="AM31" s="9">
        <v>90300000000</v>
      </c>
      <c r="AN31" s="9">
        <v>101000000000</v>
      </c>
      <c r="AO31" s="9">
        <v>85500000000</v>
      </c>
      <c r="AP31" s="9">
        <v>86700000000</v>
      </c>
      <c r="AQ31" s="9">
        <v>100000000000</v>
      </c>
      <c r="AR31" s="9">
        <v>108000000000</v>
      </c>
      <c r="AS31" s="9">
        <v>116000000000</v>
      </c>
      <c r="AT31" s="9">
        <v>107000000000</v>
      </c>
      <c r="AU31" s="9">
        <v>84700000000</v>
      </c>
      <c r="AV31" s="9">
        <v>86200000000</v>
      </c>
    </row>
    <row r="32" spans="1:48" x14ac:dyDescent="0.2">
      <c r="A32" s="1" t="s">
        <v>41</v>
      </c>
      <c r="B32" s="9">
        <v>281000000000</v>
      </c>
      <c r="C32" s="9">
        <v>296000000000</v>
      </c>
      <c r="D32" s="9">
        <v>312000000000</v>
      </c>
      <c r="E32" s="9">
        <v>327000000000</v>
      </c>
      <c r="F32" s="9">
        <v>345000000000</v>
      </c>
      <c r="G32" s="9">
        <v>364000000000</v>
      </c>
      <c r="H32" s="9">
        <v>379000000000</v>
      </c>
      <c r="I32" s="9">
        <v>394000000000</v>
      </c>
      <c r="J32" s="9">
        <v>410000000000</v>
      </c>
      <c r="K32" s="9">
        <v>425000000000</v>
      </c>
      <c r="L32" s="9">
        <v>454000000000</v>
      </c>
      <c r="M32" s="9">
        <v>471000000000</v>
      </c>
      <c r="N32" s="9">
        <v>473000000000</v>
      </c>
      <c r="O32" s="9">
        <v>486000000000</v>
      </c>
      <c r="P32" s="9">
        <v>505000000000</v>
      </c>
      <c r="Q32" s="9">
        <v>514000000000</v>
      </c>
      <c r="R32" s="9">
        <v>517000000000</v>
      </c>
      <c r="S32" s="9">
        <v>525000000000</v>
      </c>
      <c r="T32" s="9">
        <v>545000000000</v>
      </c>
      <c r="U32" s="9">
        <v>573000000000</v>
      </c>
      <c r="V32" s="9">
        <v>630000000000</v>
      </c>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row>
    <row r="33" spans="1:48" x14ac:dyDescent="0.2">
      <c r="A33" s="1" t="s">
        <v>33</v>
      </c>
      <c r="B33" s="9"/>
      <c r="C33" s="9"/>
      <c r="D33" s="9"/>
      <c r="E33" s="9"/>
      <c r="F33" s="9"/>
      <c r="G33" s="9"/>
      <c r="H33" s="9"/>
      <c r="I33" s="9"/>
      <c r="J33" s="9"/>
      <c r="K33" s="9"/>
      <c r="L33" s="9"/>
      <c r="M33" s="9"/>
      <c r="N33" s="9"/>
      <c r="O33" s="9"/>
      <c r="P33" s="9"/>
      <c r="Q33" s="9"/>
      <c r="R33" s="9"/>
      <c r="S33" s="9"/>
      <c r="T33" s="9"/>
      <c r="U33" s="9"/>
      <c r="V33" s="9">
        <v>12900000000</v>
      </c>
      <c r="W33" s="9">
        <v>11700000000</v>
      </c>
      <c r="X33" s="9">
        <v>8400000000</v>
      </c>
      <c r="Y33" s="9">
        <v>10400000000</v>
      </c>
      <c r="Z33" s="9">
        <v>11000000000</v>
      </c>
      <c r="AA33" s="9">
        <v>8610000000</v>
      </c>
      <c r="AB33" s="9">
        <v>9550000000</v>
      </c>
      <c r="AC33" s="9">
        <v>11100000000</v>
      </c>
      <c r="AD33" s="9">
        <v>11300000000</v>
      </c>
      <c r="AE33" s="9">
        <v>12300000000</v>
      </c>
      <c r="AF33" s="9">
        <v>12800000000</v>
      </c>
      <c r="AG33" s="9">
        <v>13100000000</v>
      </c>
      <c r="AH33" s="9">
        <v>13500000000</v>
      </c>
      <c r="AI33" s="9">
        <v>12900000000</v>
      </c>
      <c r="AJ33" s="9">
        <v>12700000000</v>
      </c>
      <c r="AK33" s="9">
        <v>12600000000</v>
      </c>
      <c r="AL33" s="9">
        <v>13900000000</v>
      </c>
      <c r="AM33" s="9">
        <v>15200000000</v>
      </c>
      <c r="AN33" s="9">
        <v>16400000000</v>
      </c>
      <c r="AO33" s="9">
        <v>18200000000</v>
      </c>
      <c r="AP33" s="9">
        <v>19400000000</v>
      </c>
      <c r="AQ33" s="9">
        <v>21400000000</v>
      </c>
      <c r="AR33" s="9">
        <v>23800000000</v>
      </c>
      <c r="AS33" s="9">
        <v>26200000000</v>
      </c>
      <c r="AT33" s="9">
        <v>29000000000</v>
      </c>
      <c r="AU33" s="9">
        <v>32400000000</v>
      </c>
      <c r="AV33" s="9">
        <v>36300000000</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AE01D-B7C6-684D-962F-54F44C8ECB9B}">
  <dimension ref="A1:X2"/>
  <sheetViews>
    <sheetView topLeftCell="D1" workbookViewId="0">
      <selection activeCell="B61" sqref="B61"/>
    </sheetView>
  </sheetViews>
  <sheetFormatPr baseColWidth="10" defaultRowHeight="16" x14ac:dyDescent="0.2"/>
  <cols>
    <col min="1" max="16384" width="10.83203125" style="1"/>
  </cols>
  <sheetData>
    <row r="1" spans="1:24" x14ac:dyDescent="0.2">
      <c r="B1" s="1">
        <v>1994</v>
      </c>
      <c r="C1" s="1">
        <v>1995</v>
      </c>
      <c r="D1" s="1">
        <v>1996</v>
      </c>
      <c r="E1" s="1">
        <v>1997</v>
      </c>
      <c r="F1" s="1">
        <v>1998</v>
      </c>
      <c r="G1" s="1">
        <v>1999</v>
      </c>
      <c r="H1" s="1">
        <v>2000</v>
      </c>
      <c r="I1" s="1">
        <v>2001</v>
      </c>
      <c r="J1" s="1">
        <v>2002</v>
      </c>
      <c r="K1" s="1">
        <v>2003</v>
      </c>
      <c r="L1" s="1">
        <v>2004</v>
      </c>
      <c r="M1" s="1">
        <v>2005</v>
      </c>
      <c r="N1" s="1">
        <v>2006</v>
      </c>
      <c r="O1" s="1">
        <v>2007</v>
      </c>
      <c r="P1" s="1">
        <v>2008</v>
      </c>
      <c r="Q1" s="1">
        <v>2009</v>
      </c>
      <c r="R1" s="1">
        <v>2010</v>
      </c>
      <c r="S1" s="1">
        <v>2011</v>
      </c>
      <c r="T1" s="1">
        <v>2012</v>
      </c>
      <c r="U1" s="1">
        <v>2013</v>
      </c>
      <c r="V1" s="1">
        <v>2014</v>
      </c>
      <c r="W1" s="1">
        <v>2015</v>
      </c>
      <c r="X1" s="1">
        <v>2016</v>
      </c>
    </row>
    <row r="2" spans="1:24" x14ac:dyDescent="0.2">
      <c r="A2" s="1" t="s">
        <v>38</v>
      </c>
      <c r="B2" s="1">
        <f>0.1439334*100</f>
        <v>14.393339999999998</v>
      </c>
      <c r="C2" s="1">
        <f>0.139836*100</f>
        <v>13.983599999999999</v>
      </c>
      <c r="D2" s="1">
        <f>0.1197555*100</f>
        <v>11.97555</v>
      </c>
      <c r="F2" s="1">
        <f>0.1207035*100</f>
        <v>12.070350000000001</v>
      </c>
      <c r="H2" s="1">
        <f>0.1842627*100</f>
        <v>18.426269999999999</v>
      </c>
      <c r="I2" s="1">
        <f>0.2378689*100</f>
        <v>23.78689</v>
      </c>
      <c r="J2" s="1">
        <f>0.3390799*100</f>
        <v>33.907989999999998</v>
      </c>
      <c r="K2" s="1">
        <f>0.3215495*100</f>
        <v>32.154949999999999</v>
      </c>
      <c r="L2" s="1">
        <f>0.3670103*100</f>
        <v>36.701030000000003</v>
      </c>
      <c r="M2" s="1">
        <f>0.3834768*100</f>
        <v>38.347680000000004</v>
      </c>
      <c r="N2" s="1">
        <f>0.3795533*100</f>
        <v>37.955329999999996</v>
      </c>
      <c r="O2" s="1">
        <f>0.4104544*100</f>
        <v>41.045439999999999</v>
      </c>
      <c r="P2" s="1">
        <f>0.4378793*100</f>
        <v>43.787930000000003</v>
      </c>
      <c r="Q2" s="1">
        <f>0.4457515*100</f>
        <v>44.575150000000001</v>
      </c>
      <c r="R2" s="1">
        <f>0.4646266*100</f>
        <v>46.46266</v>
      </c>
      <c r="S2" s="1">
        <f>0.5002186*100</f>
        <v>50.021859999999997</v>
      </c>
      <c r="T2" s="1">
        <f>0.5258201*100</f>
        <v>52.582010000000004</v>
      </c>
      <c r="U2" s="1">
        <f>0.5300769*100</f>
        <v>53.007689999999997</v>
      </c>
      <c r="V2" s="1">
        <f>0.5174982*100</f>
        <v>51.74982</v>
      </c>
      <c r="W2" s="1">
        <f>0.5083344*100</f>
        <v>50.833439999999996</v>
      </c>
      <c r="X2" s="1">
        <f>0.4053176*100</f>
        <v>40.531759999999998</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7AF2-3E35-8544-8286-72C09708C3A8}">
  <dimension ref="A1:D13"/>
  <sheetViews>
    <sheetView workbookViewId="0">
      <selection activeCell="B61" sqref="B61"/>
    </sheetView>
  </sheetViews>
  <sheetFormatPr baseColWidth="10" defaultRowHeight="16" x14ac:dyDescent="0.2"/>
  <cols>
    <col min="1" max="16384" width="10.83203125" style="1"/>
  </cols>
  <sheetData>
    <row r="1" spans="1:4" x14ac:dyDescent="0.2">
      <c r="B1" s="1">
        <v>1992</v>
      </c>
      <c r="C1" s="1">
        <v>1999</v>
      </c>
      <c r="D1" s="1">
        <v>2009</v>
      </c>
    </row>
    <row r="2" spans="1:4" x14ac:dyDescent="0.2">
      <c r="A2" s="1" t="s">
        <v>22</v>
      </c>
      <c r="B2" s="1">
        <v>58.8</v>
      </c>
      <c r="C2" s="1">
        <v>65.099999999999994</v>
      </c>
      <c r="D2" s="1">
        <v>63.5</v>
      </c>
    </row>
    <row r="3" spans="1:4" x14ac:dyDescent="0.2">
      <c r="A3" s="1" t="s">
        <v>12</v>
      </c>
      <c r="D3" s="1">
        <v>57.4</v>
      </c>
    </row>
    <row r="4" spans="1:4" x14ac:dyDescent="0.2">
      <c r="A4" s="1" t="s">
        <v>37</v>
      </c>
      <c r="B4" s="1">
        <v>27.6</v>
      </c>
      <c r="C4" s="1">
        <v>30.3</v>
      </c>
      <c r="D4" s="1">
        <v>30.9</v>
      </c>
    </row>
    <row r="5" spans="1:4" x14ac:dyDescent="0.2">
      <c r="A5" s="1" t="s">
        <v>13</v>
      </c>
      <c r="D5" s="1">
        <v>32.6</v>
      </c>
    </row>
    <row r="6" spans="1:4" x14ac:dyDescent="0.2">
      <c r="A6" s="1" t="s">
        <v>9</v>
      </c>
      <c r="B6" s="1">
        <v>50.3</v>
      </c>
      <c r="C6" s="1">
        <v>57</v>
      </c>
      <c r="D6" s="1">
        <v>56.6</v>
      </c>
    </row>
    <row r="7" spans="1:4" x14ac:dyDescent="0.2">
      <c r="A7" s="1" t="s">
        <v>20</v>
      </c>
      <c r="C7" s="1">
        <v>65.900000000000006</v>
      </c>
      <c r="D7" s="1">
        <v>68.3</v>
      </c>
    </row>
    <row r="8" spans="1:4" x14ac:dyDescent="0.2">
      <c r="A8" s="1" t="s">
        <v>21</v>
      </c>
      <c r="D8" s="1">
        <v>48.8</v>
      </c>
    </row>
    <row r="9" spans="1:4" x14ac:dyDescent="0.2">
      <c r="A9" s="1" t="s">
        <v>11</v>
      </c>
      <c r="B9" s="1">
        <v>58.5</v>
      </c>
      <c r="C9" s="1">
        <v>49.1</v>
      </c>
      <c r="D9" s="1">
        <v>37.1</v>
      </c>
    </row>
    <row r="10" spans="1:4" x14ac:dyDescent="0.2">
      <c r="A10" s="1" t="s">
        <v>18</v>
      </c>
      <c r="C10" s="1">
        <v>59.4</v>
      </c>
      <c r="D10" s="1">
        <v>40.700000000000003</v>
      </c>
    </row>
    <row r="11" spans="1:4" x14ac:dyDescent="0.2">
      <c r="A11" s="1" t="s">
        <v>4</v>
      </c>
      <c r="B11" s="1">
        <v>27.6</v>
      </c>
      <c r="C11" s="1">
        <v>51.3</v>
      </c>
      <c r="D11" s="1">
        <v>43.6</v>
      </c>
    </row>
    <row r="12" spans="1:4" x14ac:dyDescent="0.2">
      <c r="A12" s="1" t="s">
        <v>6</v>
      </c>
      <c r="C12" s="1">
        <v>28.1</v>
      </c>
      <c r="D12" s="1">
        <v>26.4</v>
      </c>
    </row>
    <row r="13" spans="1:4" x14ac:dyDescent="0.2">
      <c r="A13" s="1" t="s">
        <v>8</v>
      </c>
      <c r="D13" s="1">
        <v>69.099999999999994</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6CD44-F500-3046-866A-2AF60E4E8732}">
  <dimension ref="A1:K9"/>
  <sheetViews>
    <sheetView workbookViewId="0">
      <selection activeCell="B61" sqref="B61"/>
    </sheetView>
  </sheetViews>
  <sheetFormatPr baseColWidth="10" defaultRowHeight="16" x14ac:dyDescent="0.2"/>
  <cols>
    <col min="1" max="16384" width="10.83203125" style="1"/>
  </cols>
  <sheetData>
    <row r="1" spans="1:11" x14ac:dyDescent="0.2">
      <c r="B1" s="1">
        <v>2002</v>
      </c>
      <c r="C1" s="1">
        <v>2003</v>
      </c>
      <c r="D1" s="1">
        <v>2004</v>
      </c>
      <c r="E1" s="1">
        <v>2005</v>
      </c>
      <c r="F1" s="1">
        <v>2006</v>
      </c>
      <c r="G1" s="1">
        <v>2007</v>
      </c>
      <c r="H1" s="1">
        <v>2008</v>
      </c>
      <c r="I1" s="1">
        <v>2009</v>
      </c>
      <c r="J1" s="1">
        <v>2011</v>
      </c>
      <c r="K1" s="1">
        <v>2019</v>
      </c>
    </row>
    <row r="2" spans="1:11" x14ac:dyDescent="0.2">
      <c r="A2" s="1" t="s">
        <v>22</v>
      </c>
      <c r="B2" s="1">
        <v>4</v>
      </c>
      <c r="G2" s="1">
        <v>9</v>
      </c>
      <c r="I2" s="1">
        <v>18</v>
      </c>
      <c r="K2" s="1">
        <v>22</v>
      </c>
    </row>
    <row r="3" spans="1:11" x14ac:dyDescent="0.2">
      <c r="A3" s="1" t="s">
        <v>37</v>
      </c>
      <c r="B3" s="1">
        <v>36</v>
      </c>
      <c r="G3" s="1">
        <v>23</v>
      </c>
      <c r="I3" s="1">
        <v>28</v>
      </c>
      <c r="K3" s="1">
        <v>54</v>
      </c>
    </row>
    <row r="4" spans="1:11" x14ac:dyDescent="0.2">
      <c r="A4" s="1" t="s">
        <v>9</v>
      </c>
      <c r="I4" s="1">
        <v>6</v>
      </c>
      <c r="K4" s="1">
        <v>41</v>
      </c>
    </row>
    <row r="5" spans="1:11" x14ac:dyDescent="0.2">
      <c r="A5" s="1" t="s">
        <v>21</v>
      </c>
      <c r="I5" s="1">
        <v>7</v>
      </c>
      <c r="J5" s="1">
        <v>14</v>
      </c>
      <c r="K5" s="1">
        <v>52</v>
      </c>
    </row>
    <row r="6" spans="1:11" x14ac:dyDescent="0.2">
      <c r="A6" s="1" t="s">
        <v>11</v>
      </c>
      <c r="B6" s="1">
        <v>9</v>
      </c>
      <c r="G6" s="1">
        <v>18</v>
      </c>
      <c r="H6" s="1">
        <v>42</v>
      </c>
      <c r="I6" s="1">
        <v>36</v>
      </c>
      <c r="K6" s="1">
        <v>65</v>
      </c>
    </row>
    <row r="7" spans="1:11" x14ac:dyDescent="0.2">
      <c r="A7" s="1" t="s">
        <v>38</v>
      </c>
      <c r="B7" s="1">
        <v>20</v>
      </c>
      <c r="C7" s="1">
        <v>27</v>
      </c>
      <c r="D7" s="1">
        <v>26</v>
      </c>
      <c r="E7" s="1">
        <v>23</v>
      </c>
      <c r="F7" s="1">
        <v>32</v>
      </c>
      <c r="G7" s="1">
        <v>36</v>
      </c>
      <c r="H7" s="1">
        <v>54</v>
      </c>
      <c r="I7" s="1">
        <v>34</v>
      </c>
      <c r="J7" s="1">
        <v>32</v>
      </c>
      <c r="K7" s="1">
        <v>43</v>
      </c>
    </row>
    <row r="8" spans="1:11" x14ac:dyDescent="0.2">
      <c r="A8" s="1" t="s">
        <v>4</v>
      </c>
      <c r="B8" s="1">
        <v>11</v>
      </c>
      <c r="G8" s="1">
        <v>46</v>
      </c>
      <c r="I8" s="1">
        <v>37</v>
      </c>
      <c r="K8" s="1">
        <v>54</v>
      </c>
    </row>
    <row r="9" spans="1:11" x14ac:dyDescent="0.2">
      <c r="A9" s="1" t="s">
        <v>8</v>
      </c>
      <c r="B9" s="1">
        <v>9</v>
      </c>
      <c r="G9" s="1">
        <v>9</v>
      </c>
      <c r="I9" s="1">
        <v>7</v>
      </c>
      <c r="J9" s="1">
        <v>9</v>
      </c>
      <c r="K9" s="1">
        <v>23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FFBE-C483-F14F-9EB4-5AB4265550C4}">
  <dimension ref="A1:M29"/>
  <sheetViews>
    <sheetView workbookViewId="0">
      <selection activeCell="B61" sqref="B61"/>
    </sheetView>
  </sheetViews>
  <sheetFormatPr baseColWidth="10" defaultRowHeight="16" x14ac:dyDescent="0.2"/>
  <cols>
    <col min="1" max="16384" width="10.83203125" style="1"/>
  </cols>
  <sheetData>
    <row r="1" spans="1:13" x14ac:dyDescent="0.2">
      <c r="B1" s="1" t="s">
        <v>145</v>
      </c>
      <c r="C1" s="1">
        <v>2006</v>
      </c>
      <c r="D1" s="1">
        <v>2007</v>
      </c>
      <c r="E1" s="1">
        <v>2008</v>
      </c>
      <c r="F1" s="1">
        <v>2009</v>
      </c>
      <c r="G1" s="1">
        <v>2010</v>
      </c>
      <c r="H1" s="1">
        <v>2011</v>
      </c>
      <c r="I1" s="1">
        <v>2012</v>
      </c>
      <c r="J1" s="1">
        <v>2013</v>
      </c>
      <c r="K1" s="1">
        <v>2014</v>
      </c>
      <c r="L1" s="1">
        <v>2015</v>
      </c>
      <c r="M1" s="1">
        <v>2016</v>
      </c>
    </row>
    <row r="2" spans="1:13" x14ac:dyDescent="0.2">
      <c r="A2" s="1" t="s">
        <v>27</v>
      </c>
      <c r="B2" s="1">
        <v>58.5</v>
      </c>
      <c r="C2" s="1">
        <v>27.9</v>
      </c>
      <c r="G2" s="1">
        <v>43.601900000000001</v>
      </c>
      <c r="M2" s="1">
        <v>19.466670000000001</v>
      </c>
    </row>
    <row r="3" spans="1:13" x14ac:dyDescent="0.2">
      <c r="A3" s="1" t="s">
        <v>23</v>
      </c>
      <c r="B3" s="1">
        <v>49.5</v>
      </c>
      <c r="C3" s="1">
        <v>20.399999999999999</v>
      </c>
      <c r="G3" s="1">
        <v>8</v>
      </c>
      <c r="M3" s="1">
        <v>13.42502</v>
      </c>
    </row>
    <row r="4" spans="1:13" x14ac:dyDescent="0.2">
      <c r="A4" s="1" t="s">
        <v>29</v>
      </c>
      <c r="B4" s="1">
        <v>56.5</v>
      </c>
      <c r="C4" s="1">
        <v>23.6</v>
      </c>
      <c r="G4" s="1">
        <v>24.4511</v>
      </c>
      <c r="M4" s="1">
        <v>15.165559999999999</v>
      </c>
    </row>
    <row r="5" spans="1:13" x14ac:dyDescent="0.2">
      <c r="A5" s="1" t="s">
        <v>3</v>
      </c>
      <c r="B5" s="1">
        <v>50.3</v>
      </c>
      <c r="C5" s="1">
        <v>41</v>
      </c>
      <c r="G5" s="1">
        <v>39.6</v>
      </c>
      <c r="M5" s="1">
        <v>26.462769999999999</v>
      </c>
    </row>
    <row r="6" spans="1:13" x14ac:dyDescent="0.2">
      <c r="A6" s="1" t="s">
        <v>36</v>
      </c>
      <c r="B6" s="1">
        <v>53.3</v>
      </c>
      <c r="C6" s="1">
        <v>5.8</v>
      </c>
      <c r="G6" s="1">
        <v>29.346830000000001</v>
      </c>
      <c r="M6" s="1">
        <v>32.82188</v>
      </c>
    </row>
    <row r="7" spans="1:13" x14ac:dyDescent="0.2">
      <c r="A7" s="1" t="s">
        <v>22</v>
      </c>
      <c r="B7" s="1">
        <v>66.900000000000006</v>
      </c>
      <c r="C7" s="1">
        <v>22.2</v>
      </c>
      <c r="G7" s="1">
        <v>25.34517</v>
      </c>
      <c r="M7" s="1">
        <v>21.533329999999999</v>
      </c>
    </row>
    <row r="8" spans="1:13" x14ac:dyDescent="0.2">
      <c r="A8" s="1" t="s">
        <v>12</v>
      </c>
      <c r="B8" s="1">
        <v>52.8</v>
      </c>
      <c r="C8" s="1">
        <v>24.3</v>
      </c>
      <c r="G8" s="1">
        <v>26.83897</v>
      </c>
      <c r="M8" s="1">
        <v>29.87359</v>
      </c>
    </row>
    <row r="9" spans="1:13" x14ac:dyDescent="0.2">
      <c r="A9" s="1" t="s">
        <v>37</v>
      </c>
      <c r="B9" s="1">
        <v>34.1</v>
      </c>
      <c r="C9" s="1">
        <v>26.1</v>
      </c>
      <c r="G9" s="1">
        <v>25.819269999999999</v>
      </c>
      <c r="M9" s="1">
        <v>19.973890000000001</v>
      </c>
    </row>
    <row r="10" spans="1:13" x14ac:dyDescent="0.2">
      <c r="A10" s="1" t="s">
        <v>13</v>
      </c>
      <c r="B10" s="1">
        <v>54.4</v>
      </c>
      <c r="C10" s="1">
        <v>39.200000000000003</v>
      </c>
      <c r="G10" s="1">
        <v>45.608780000000003</v>
      </c>
      <c r="M10" s="1">
        <v>48.502989999999997</v>
      </c>
    </row>
    <row r="11" spans="1:13" x14ac:dyDescent="0.2">
      <c r="A11" s="1" t="s">
        <v>26</v>
      </c>
      <c r="B11" s="1">
        <v>62.4</v>
      </c>
      <c r="C11" s="1">
        <v>42.2</v>
      </c>
      <c r="G11" s="1">
        <v>28.4</v>
      </c>
      <c r="M11" s="1">
        <v>27.32095</v>
      </c>
    </row>
    <row r="12" spans="1:13" x14ac:dyDescent="0.2">
      <c r="A12" s="1" t="s">
        <v>9</v>
      </c>
      <c r="B12" s="1">
        <v>54.9</v>
      </c>
      <c r="C12" s="1">
        <v>23.5</v>
      </c>
      <c r="G12" s="1">
        <v>24.383299999999998</v>
      </c>
      <c r="M12" s="1">
        <v>24.317119999999999</v>
      </c>
    </row>
    <row r="13" spans="1:13" x14ac:dyDescent="0.2">
      <c r="A13" s="1" t="s">
        <v>7</v>
      </c>
      <c r="B13" s="1">
        <v>65.5</v>
      </c>
      <c r="C13" s="1">
        <v>42.6</v>
      </c>
      <c r="G13" s="1">
        <v>54.1</v>
      </c>
      <c r="M13" s="1">
        <v>30.09967</v>
      </c>
    </row>
    <row r="14" spans="1:13" x14ac:dyDescent="0.2">
      <c r="A14" s="1" t="s">
        <v>10</v>
      </c>
      <c r="G14" s="1">
        <v>36.20532</v>
      </c>
      <c r="M14" s="1">
        <v>26.66667</v>
      </c>
    </row>
    <row r="15" spans="1:13" x14ac:dyDescent="0.2">
      <c r="A15" s="1" t="s">
        <v>14</v>
      </c>
      <c r="B15" s="1">
        <v>63.3</v>
      </c>
      <c r="C15" s="1">
        <v>27.4</v>
      </c>
      <c r="G15" s="1">
        <v>26.377949999999998</v>
      </c>
      <c r="M15" s="1">
        <v>30.466670000000001</v>
      </c>
    </row>
    <row r="16" spans="1:13" x14ac:dyDescent="0.2">
      <c r="A16" s="1" t="s">
        <v>20</v>
      </c>
      <c r="B16" s="1">
        <v>62</v>
      </c>
      <c r="C16" s="1">
        <v>34.9</v>
      </c>
      <c r="G16" s="1">
        <v>27.010919999999999</v>
      </c>
      <c r="M16" s="1">
        <v>30.466670000000001</v>
      </c>
    </row>
    <row r="17" spans="1:13" x14ac:dyDescent="0.2">
      <c r="A17" s="1" t="s">
        <v>21</v>
      </c>
      <c r="B17" s="1">
        <v>63.5</v>
      </c>
      <c r="C17" s="1">
        <v>31.4</v>
      </c>
      <c r="G17" s="1">
        <v>23.297139999999999</v>
      </c>
      <c r="M17" s="1">
        <v>36.109259999999999</v>
      </c>
    </row>
    <row r="18" spans="1:13" x14ac:dyDescent="0.2">
      <c r="A18" s="1" t="s">
        <v>15</v>
      </c>
      <c r="B18" s="1">
        <v>54</v>
      </c>
      <c r="C18" s="1">
        <v>14.8</v>
      </c>
      <c r="G18" s="1">
        <v>20.708960000000001</v>
      </c>
      <c r="M18" s="1">
        <v>24.016010000000001</v>
      </c>
    </row>
    <row r="19" spans="1:13" x14ac:dyDescent="0.2">
      <c r="A19" s="1" t="s">
        <v>16</v>
      </c>
      <c r="B19" s="1">
        <v>58.4</v>
      </c>
      <c r="C19" s="1">
        <v>32.6</v>
      </c>
      <c r="G19" s="1">
        <v>35.28284</v>
      </c>
      <c r="M19" s="1">
        <v>25.727509999999999</v>
      </c>
    </row>
    <row r="20" spans="1:13" x14ac:dyDescent="0.2">
      <c r="A20" s="1" t="s">
        <v>24</v>
      </c>
      <c r="B20" s="1">
        <v>52.4</v>
      </c>
      <c r="C20" s="1">
        <v>24.2</v>
      </c>
      <c r="G20" s="1">
        <v>32.576509999999999</v>
      </c>
      <c r="M20" s="1">
        <v>23.220230000000001</v>
      </c>
    </row>
    <row r="21" spans="1:13" x14ac:dyDescent="0.2">
      <c r="A21" s="1" t="s">
        <v>11</v>
      </c>
      <c r="B21" s="1">
        <v>46.1</v>
      </c>
      <c r="C21" s="1">
        <v>28.5</v>
      </c>
      <c r="G21" s="1">
        <v>38.118810000000003</v>
      </c>
      <c r="M21" s="1">
        <v>53.533329999999999</v>
      </c>
    </row>
    <row r="22" spans="1:13" x14ac:dyDescent="0.2">
      <c r="A22" s="1" t="s">
        <v>17</v>
      </c>
      <c r="B22" s="1">
        <v>43.4</v>
      </c>
      <c r="C22" s="1">
        <v>24.9</v>
      </c>
      <c r="G22" s="1">
        <v>23.562149999999999</v>
      </c>
      <c r="M22" s="1">
        <v>18.452380000000002</v>
      </c>
    </row>
    <row r="23" spans="1:13" x14ac:dyDescent="0.2">
      <c r="A23" s="1" t="s">
        <v>38</v>
      </c>
      <c r="B23" s="1">
        <v>61.6</v>
      </c>
      <c r="C23" s="1">
        <v>35</v>
      </c>
      <c r="G23" s="1">
        <v>47.601010000000002</v>
      </c>
      <c r="M23" s="1">
        <v>32.713999999999999</v>
      </c>
    </row>
    <row r="24" spans="1:13" x14ac:dyDescent="0.2">
      <c r="A24" s="1" t="s">
        <v>19</v>
      </c>
      <c r="B24" s="1">
        <v>58.2</v>
      </c>
      <c r="C24" s="1">
        <v>29.7</v>
      </c>
      <c r="G24" s="1">
        <v>35.681370000000001</v>
      </c>
      <c r="M24" s="1">
        <v>35.07958</v>
      </c>
    </row>
    <row r="25" spans="1:13" x14ac:dyDescent="0.2">
      <c r="A25" s="1" t="s">
        <v>4</v>
      </c>
      <c r="B25" s="1">
        <v>44.655340000000002</v>
      </c>
      <c r="C25" s="1">
        <v>33.966030000000003</v>
      </c>
      <c r="G25" s="1">
        <v>20.969339999999999</v>
      </c>
      <c r="M25" s="1">
        <v>20.85492</v>
      </c>
    </row>
    <row r="26" spans="1:13" x14ac:dyDescent="0.2">
      <c r="A26" s="1" t="s">
        <v>6</v>
      </c>
      <c r="B26" s="1">
        <v>51.048949999999998</v>
      </c>
      <c r="C26" s="1">
        <v>27.472529999999999</v>
      </c>
      <c r="G26" s="1">
        <v>29.4</v>
      </c>
      <c r="M26" s="1">
        <v>26.915389999999999</v>
      </c>
    </row>
    <row r="27" spans="1:13" x14ac:dyDescent="0.2">
      <c r="A27" s="1" t="s">
        <v>28</v>
      </c>
      <c r="B27" s="1">
        <v>47.2</v>
      </c>
      <c r="C27" s="1">
        <v>35.799999999999997</v>
      </c>
      <c r="G27" s="1">
        <v>48.063560000000003</v>
      </c>
      <c r="M27" s="1">
        <v>49.139069999999997</v>
      </c>
    </row>
    <row r="28" spans="1:13" x14ac:dyDescent="0.2">
      <c r="A28" s="1" t="s">
        <v>8</v>
      </c>
      <c r="B28" s="1">
        <v>58.4</v>
      </c>
      <c r="C28" s="1">
        <v>39.799999999999997</v>
      </c>
      <c r="G28" s="1">
        <v>47.017319999999998</v>
      </c>
      <c r="M28" s="1">
        <v>32.183149999999998</v>
      </c>
    </row>
    <row r="29" spans="1:13" x14ac:dyDescent="0.2">
      <c r="A29" s="1" t="s">
        <v>33</v>
      </c>
      <c r="B29" s="1">
        <v>60.1</v>
      </c>
      <c r="C29" s="1">
        <v>37.1</v>
      </c>
      <c r="G29" s="1">
        <v>44.933329999999998</v>
      </c>
      <c r="M29" s="1">
        <v>33.93094</v>
      </c>
    </row>
  </sheetData>
  <sortState xmlns:xlrd2="http://schemas.microsoft.com/office/spreadsheetml/2017/richdata2" ref="A2:R29">
    <sortCondition ref="A2:A29"/>
  </sortState>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1A6BE-EA14-3946-8AAE-A393146D95E6}">
  <dimension ref="A1:G28"/>
  <sheetViews>
    <sheetView workbookViewId="0">
      <selection activeCell="B61" sqref="B61"/>
    </sheetView>
  </sheetViews>
  <sheetFormatPr baseColWidth="10" defaultRowHeight="16" x14ac:dyDescent="0.2"/>
  <cols>
    <col min="1" max="16384" width="10.83203125" style="1"/>
  </cols>
  <sheetData>
    <row r="1" spans="1:7" x14ac:dyDescent="0.2">
      <c r="B1" s="1" t="s">
        <v>190</v>
      </c>
      <c r="C1" s="1" t="s">
        <v>191</v>
      </c>
      <c r="D1" s="1" t="s">
        <v>192</v>
      </c>
      <c r="E1" s="1" t="s">
        <v>193</v>
      </c>
      <c r="F1" s="1" t="s">
        <v>194</v>
      </c>
      <c r="G1" s="1" t="s">
        <v>195</v>
      </c>
    </row>
    <row r="2" spans="1:7" x14ac:dyDescent="0.2">
      <c r="A2" s="1" t="s">
        <v>27</v>
      </c>
      <c r="C2" s="1">
        <v>24.3</v>
      </c>
      <c r="D2" s="1">
        <v>23.2</v>
      </c>
      <c r="G2" s="1">
        <v>2.8</v>
      </c>
    </row>
    <row r="3" spans="1:7" x14ac:dyDescent="0.2">
      <c r="A3" s="1" t="s">
        <v>23</v>
      </c>
      <c r="C3" s="1">
        <v>23.5</v>
      </c>
      <c r="F3" s="1">
        <v>10.9</v>
      </c>
      <c r="G3" s="1">
        <v>24.9</v>
      </c>
    </row>
    <row r="4" spans="1:7" x14ac:dyDescent="0.2">
      <c r="A4" s="1" t="s">
        <v>29</v>
      </c>
      <c r="C4" s="1">
        <v>19.399999999999999</v>
      </c>
      <c r="F4" s="1">
        <v>14.8</v>
      </c>
      <c r="G4" s="1">
        <v>26.3</v>
      </c>
    </row>
    <row r="5" spans="1:7" x14ac:dyDescent="0.2">
      <c r="A5" s="1" t="s">
        <v>3</v>
      </c>
      <c r="B5" s="1">
        <v>25</v>
      </c>
      <c r="C5" s="1">
        <v>23</v>
      </c>
      <c r="F5" s="1">
        <v>32.6</v>
      </c>
      <c r="G5" s="1">
        <v>40</v>
      </c>
    </row>
    <row r="6" spans="1:7" x14ac:dyDescent="0.2">
      <c r="A6" s="1" t="s">
        <v>36</v>
      </c>
      <c r="C6" s="1">
        <v>26.9</v>
      </c>
      <c r="D6" s="1">
        <v>15.6</v>
      </c>
      <c r="G6" s="1">
        <v>9.6</v>
      </c>
    </row>
    <row r="7" spans="1:7" x14ac:dyDescent="0.2">
      <c r="A7" s="1" t="s">
        <v>22</v>
      </c>
      <c r="C7" s="1">
        <v>23.7</v>
      </c>
      <c r="E7" s="1">
        <v>19.600000000000001</v>
      </c>
      <c r="G7" s="1">
        <v>17.100000000000001</v>
      </c>
    </row>
    <row r="8" spans="1:7" x14ac:dyDescent="0.2">
      <c r="A8" s="1" t="s">
        <v>12</v>
      </c>
      <c r="C8" s="1">
        <v>22.8</v>
      </c>
      <c r="G8" s="1">
        <v>13.6</v>
      </c>
    </row>
    <row r="9" spans="1:7" x14ac:dyDescent="0.2">
      <c r="A9" s="1" t="s">
        <v>37</v>
      </c>
      <c r="B9" s="1">
        <v>30.2</v>
      </c>
      <c r="C9" s="1">
        <v>27.2</v>
      </c>
      <c r="G9" s="1">
        <v>21.1</v>
      </c>
    </row>
    <row r="10" spans="1:7" x14ac:dyDescent="0.2">
      <c r="A10" s="1" t="s">
        <v>13</v>
      </c>
      <c r="C10" s="1">
        <v>21.1</v>
      </c>
      <c r="F10" s="1">
        <v>39</v>
      </c>
      <c r="G10" s="1">
        <v>33.9</v>
      </c>
    </row>
    <row r="11" spans="1:7" x14ac:dyDescent="0.2">
      <c r="A11" s="1" t="s">
        <v>26</v>
      </c>
      <c r="C11" s="1">
        <v>17.7</v>
      </c>
      <c r="E11" s="1">
        <v>17.600000000000001</v>
      </c>
      <c r="F11" s="1">
        <v>8.8000000000000007</v>
      </c>
      <c r="G11" s="1">
        <v>9</v>
      </c>
    </row>
    <row r="12" spans="1:7" x14ac:dyDescent="0.2">
      <c r="A12" s="1" t="s">
        <v>9</v>
      </c>
      <c r="C12" s="1">
        <v>22.5</v>
      </c>
      <c r="E12" s="1">
        <v>28.7</v>
      </c>
      <c r="G12" s="1">
        <v>27.2</v>
      </c>
    </row>
    <row r="13" spans="1:7" x14ac:dyDescent="0.2">
      <c r="A13" s="1" t="s">
        <v>7</v>
      </c>
      <c r="F13" s="1">
        <v>38.299999999999997</v>
      </c>
      <c r="G13" s="1">
        <v>22.8</v>
      </c>
    </row>
    <row r="14" spans="1:7" x14ac:dyDescent="0.2">
      <c r="A14" s="1" t="s">
        <v>14</v>
      </c>
      <c r="D14" s="1">
        <v>16.600000000000001</v>
      </c>
      <c r="F14" s="1">
        <v>36.299999999999997</v>
      </c>
      <c r="G14" s="1">
        <v>12.8</v>
      </c>
    </row>
    <row r="15" spans="1:7" x14ac:dyDescent="0.2">
      <c r="A15" s="1" t="s">
        <v>20</v>
      </c>
      <c r="C15" s="1">
        <v>23.9</v>
      </c>
    </row>
    <row r="16" spans="1:7" x14ac:dyDescent="0.2">
      <c r="A16" s="1" t="s">
        <v>21</v>
      </c>
      <c r="C16" s="1">
        <v>21.3</v>
      </c>
      <c r="G16" s="1">
        <v>31.7</v>
      </c>
    </row>
    <row r="17" spans="1:7" x14ac:dyDescent="0.2">
      <c r="A17" s="1" t="s">
        <v>15</v>
      </c>
      <c r="C17" s="1">
        <v>7.5</v>
      </c>
      <c r="D17" s="1">
        <v>13.1</v>
      </c>
    </row>
    <row r="18" spans="1:7" x14ac:dyDescent="0.2">
      <c r="A18" s="1" t="s">
        <v>16</v>
      </c>
      <c r="C18" s="1">
        <v>21.8</v>
      </c>
      <c r="D18" s="1">
        <v>14.1</v>
      </c>
      <c r="E18" s="1">
        <v>17.600000000000001</v>
      </c>
    </row>
    <row r="19" spans="1:7" x14ac:dyDescent="0.2">
      <c r="A19" s="1" t="s">
        <v>24</v>
      </c>
      <c r="C19" s="1">
        <v>30.4</v>
      </c>
      <c r="D19" s="1">
        <v>32.9</v>
      </c>
      <c r="G19" s="1">
        <v>21.7</v>
      </c>
    </row>
    <row r="20" spans="1:7" x14ac:dyDescent="0.2">
      <c r="A20" s="1" t="s">
        <v>11</v>
      </c>
      <c r="B20" s="1">
        <v>31.3</v>
      </c>
      <c r="C20" s="1">
        <v>16.899999999999999</v>
      </c>
      <c r="E20" s="1">
        <v>18.100000000000001</v>
      </c>
      <c r="F20" s="1">
        <v>22.2</v>
      </c>
      <c r="G20" s="1">
        <v>24.1</v>
      </c>
    </row>
    <row r="21" spans="1:7" x14ac:dyDescent="0.2">
      <c r="A21" s="1" t="s">
        <v>17</v>
      </c>
      <c r="C21" s="1">
        <v>17.899999999999999</v>
      </c>
      <c r="E21" s="1">
        <v>19.3</v>
      </c>
      <c r="F21" s="1">
        <v>7.7</v>
      </c>
      <c r="G21" s="1">
        <v>12.1</v>
      </c>
    </row>
    <row r="22" spans="1:7" x14ac:dyDescent="0.2">
      <c r="A22" s="1" t="s">
        <v>38</v>
      </c>
      <c r="B22" s="1">
        <v>34.700000000000003</v>
      </c>
      <c r="C22" s="1">
        <v>23.2</v>
      </c>
      <c r="E22" s="1">
        <v>24.6</v>
      </c>
      <c r="F22" s="1">
        <v>27.8</v>
      </c>
      <c r="G22" s="1">
        <v>22.9</v>
      </c>
    </row>
    <row r="23" spans="1:7" x14ac:dyDescent="0.2">
      <c r="A23" s="1" t="s">
        <v>19</v>
      </c>
      <c r="C23" s="1">
        <v>28.4</v>
      </c>
      <c r="D23" s="1">
        <v>18.3</v>
      </c>
      <c r="E23" s="1">
        <v>13.6</v>
      </c>
      <c r="G23" s="1">
        <v>16.3</v>
      </c>
    </row>
    <row r="24" spans="1:7" x14ac:dyDescent="0.2">
      <c r="A24" s="1" t="s">
        <v>4</v>
      </c>
      <c r="B24" s="1">
        <v>23</v>
      </c>
      <c r="C24" s="1">
        <v>25.8</v>
      </c>
      <c r="G24" s="1">
        <v>21.4</v>
      </c>
    </row>
    <row r="25" spans="1:7" x14ac:dyDescent="0.2">
      <c r="A25" s="1" t="s">
        <v>6</v>
      </c>
      <c r="C25" s="1">
        <v>15.3</v>
      </c>
      <c r="E25" s="1">
        <v>17.5</v>
      </c>
      <c r="F25" s="1">
        <v>19.899999999999999</v>
      </c>
      <c r="G25" s="1">
        <v>25.3</v>
      </c>
    </row>
    <row r="26" spans="1:7" x14ac:dyDescent="0.2">
      <c r="A26" s="1" t="s">
        <v>28</v>
      </c>
      <c r="G26" s="1">
        <v>20.6</v>
      </c>
    </row>
    <row r="27" spans="1:7" x14ac:dyDescent="0.2">
      <c r="A27" s="1" t="s">
        <v>8</v>
      </c>
      <c r="C27" s="1">
        <v>28.8</v>
      </c>
      <c r="E27" s="1">
        <v>24.5</v>
      </c>
      <c r="F27" s="1">
        <v>23.1</v>
      </c>
    </row>
    <row r="28" spans="1:7" x14ac:dyDescent="0.2">
      <c r="A28" s="1" t="s">
        <v>33</v>
      </c>
      <c r="F28" s="1">
        <v>13.9</v>
      </c>
    </row>
  </sheetData>
  <sortState xmlns:xlrd2="http://schemas.microsoft.com/office/spreadsheetml/2017/richdata2" ref="A2:G28">
    <sortCondition ref="A2:A28"/>
  </sortState>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4EE9-D819-BE4A-996E-10868D96B5F9}">
  <dimension ref="A1:L29"/>
  <sheetViews>
    <sheetView zoomScaleNormal="100" workbookViewId="0">
      <selection activeCell="B61" sqref="B61"/>
    </sheetView>
  </sheetViews>
  <sheetFormatPr baseColWidth="10" defaultRowHeight="16" x14ac:dyDescent="0.2"/>
  <cols>
    <col min="1" max="16384" width="10.83203125" style="1"/>
  </cols>
  <sheetData>
    <row r="1" spans="1:12" x14ac:dyDescent="0.2">
      <c r="B1" s="1">
        <v>2006</v>
      </c>
      <c r="C1" s="1">
        <v>2007</v>
      </c>
      <c r="D1" s="1">
        <v>2008</v>
      </c>
      <c r="E1" s="1">
        <v>2009</v>
      </c>
      <c r="F1" s="1">
        <v>2010</v>
      </c>
      <c r="G1" s="1">
        <v>2011</v>
      </c>
      <c r="H1" s="1">
        <v>2012</v>
      </c>
      <c r="I1" s="1">
        <v>2013</v>
      </c>
      <c r="J1" s="1">
        <v>2014</v>
      </c>
      <c r="K1" s="1">
        <v>2015</v>
      </c>
      <c r="L1" s="1">
        <v>2016</v>
      </c>
    </row>
    <row r="2" spans="1:12" x14ac:dyDescent="0.2">
      <c r="A2" s="1" t="s">
        <v>27</v>
      </c>
      <c r="B2" s="1">
        <v>61</v>
      </c>
      <c r="F2" s="1">
        <v>56</v>
      </c>
      <c r="L2" s="1">
        <v>51</v>
      </c>
    </row>
    <row r="3" spans="1:12" x14ac:dyDescent="0.2">
      <c r="A3" s="1" t="s">
        <v>23</v>
      </c>
      <c r="B3" s="1">
        <v>35</v>
      </c>
      <c r="F3" s="1">
        <v>76</v>
      </c>
      <c r="L3" s="1">
        <v>66</v>
      </c>
    </row>
    <row r="4" spans="1:12" x14ac:dyDescent="0.2">
      <c r="A4" s="1" t="s">
        <v>29</v>
      </c>
      <c r="B4" s="1">
        <v>38</v>
      </c>
      <c r="F4" s="1">
        <v>60</v>
      </c>
      <c r="L4" s="1">
        <v>28</v>
      </c>
    </row>
    <row r="5" spans="1:12" x14ac:dyDescent="0.2">
      <c r="A5" s="1" t="s">
        <v>3</v>
      </c>
      <c r="B5" s="1">
        <v>46</v>
      </c>
      <c r="F5" s="1">
        <v>59</v>
      </c>
      <c r="L5" s="1">
        <v>36</v>
      </c>
    </row>
    <row r="6" spans="1:12" x14ac:dyDescent="0.2">
      <c r="A6" s="1" t="s">
        <v>36</v>
      </c>
      <c r="B6" s="1">
        <v>49</v>
      </c>
      <c r="F6" s="1">
        <v>42</v>
      </c>
      <c r="L6" s="1">
        <v>46</v>
      </c>
    </row>
    <row r="7" spans="1:12" x14ac:dyDescent="0.2">
      <c r="A7" s="1" t="s">
        <v>22</v>
      </c>
      <c r="B7" s="1">
        <v>40</v>
      </c>
      <c r="F7" s="1">
        <v>46</v>
      </c>
      <c r="L7" s="1">
        <v>49</v>
      </c>
    </row>
    <row r="8" spans="1:12" x14ac:dyDescent="0.2">
      <c r="A8" s="1" t="s">
        <v>12</v>
      </c>
      <c r="B8" s="1">
        <v>43</v>
      </c>
      <c r="F8" s="1">
        <v>48</v>
      </c>
      <c r="L8" s="1">
        <v>49</v>
      </c>
    </row>
    <row r="9" spans="1:12" x14ac:dyDescent="0.2">
      <c r="A9" s="1" t="s">
        <v>37</v>
      </c>
      <c r="B9" s="1">
        <v>50</v>
      </c>
    </row>
    <row r="10" spans="1:12" x14ac:dyDescent="0.2">
      <c r="A10" s="1" t="s">
        <v>13</v>
      </c>
      <c r="B10" s="1">
        <v>50</v>
      </c>
      <c r="F10" s="1">
        <v>56</v>
      </c>
      <c r="L10" s="1">
        <v>55</v>
      </c>
    </row>
    <row r="11" spans="1:12" x14ac:dyDescent="0.2">
      <c r="A11" s="1" t="s">
        <v>26</v>
      </c>
      <c r="B11" s="1">
        <v>45</v>
      </c>
      <c r="F11" s="1">
        <v>71</v>
      </c>
      <c r="L11" s="1">
        <v>53</v>
      </c>
    </row>
    <row r="12" spans="1:12" x14ac:dyDescent="0.2">
      <c r="A12" s="1" t="s">
        <v>9</v>
      </c>
      <c r="B12" s="1">
        <v>47</v>
      </c>
      <c r="F12" s="1">
        <v>53</v>
      </c>
      <c r="L12" s="1">
        <v>59</v>
      </c>
    </row>
    <row r="13" spans="1:12" x14ac:dyDescent="0.2">
      <c r="A13" s="1" t="s">
        <v>7</v>
      </c>
      <c r="B13" s="1">
        <v>32</v>
      </c>
      <c r="F13" s="1">
        <v>59</v>
      </c>
      <c r="L13" s="1">
        <v>49</v>
      </c>
    </row>
    <row r="14" spans="1:12" x14ac:dyDescent="0.2">
      <c r="A14" s="1" t="s">
        <v>10</v>
      </c>
      <c r="F14" s="1">
        <v>75</v>
      </c>
      <c r="L14" s="1">
        <v>67</v>
      </c>
    </row>
    <row r="15" spans="1:12" x14ac:dyDescent="0.2">
      <c r="A15" s="1" t="s">
        <v>14</v>
      </c>
      <c r="B15" s="1">
        <v>55</v>
      </c>
      <c r="F15" s="1">
        <v>50</v>
      </c>
      <c r="L15" s="1">
        <v>53</v>
      </c>
    </row>
    <row r="16" spans="1:12" x14ac:dyDescent="0.2">
      <c r="A16" s="1" t="s">
        <v>20</v>
      </c>
      <c r="B16" s="1">
        <v>44</v>
      </c>
      <c r="F16" s="1">
        <v>38</v>
      </c>
      <c r="L16" s="1">
        <v>41</v>
      </c>
    </row>
    <row r="17" spans="1:12" x14ac:dyDescent="0.2">
      <c r="A17" s="1" t="s">
        <v>21</v>
      </c>
      <c r="B17" s="1">
        <v>44</v>
      </c>
      <c r="F17" s="1">
        <v>42</v>
      </c>
      <c r="L17" s="1">
        <v>61</v>
      </c>
    </row>
    <row r="18" spans="1:12" x14ac:dyDescent="0.2">
      <c r="A18" s="1" t="s">
        <v>15</v>
      </c>
      <c r="B18" s="1">
        <v>39</v>
      </c>
      <c r="F18" s="1">
        <v>55</v>
      </c>
      <c r="L18" s="1">
        <v>72</v>
      </c>
    </row>
    <row r="19" spans="1:12" x14ac:dyDescent="0.2">
      <c r="A19" s="1" t="s">
        <v>16</v>
      </c>
      <c r="B19" s="1">
        <v>46</v>
      </c>
      <c r="F19" s="1">
        <v>53</v>
      </c>
      <c r="L19" s="1">
        <v>43</v>
      </c>
    </row>
    <row r="20" spans="1:12" x14ac:dyDescent="0.2">
      <c r="A20" s="1" t="s">
        <v>24</v>
      </c>
      <c r="B20" s="1">
        <v>59</v>
      </c>
      <c r="F20" s="1">
        <v>67</v>
      </c>
      <c r="L20" s="1">
        <v>58</v>
      </c>
    </row>
    <row r="21" spans="1:12" x14ac:dyDescent="0.2">
      <c r="A21" s="1" t="s">
        <v>11</v>
      </c>
      <c r="B21" s="1">
        <v>43</v>
      </c>
      <c r="F21" s="1">
        <v>46</v>
      </c>
      <c r="L21" s="1">
        <v>57</v>
      </c>
    </row>
    <row r="22" spans="1:12" x14ac:dyDescent="0.2">
      <c r="A22" s="1" t="s">
        <v>17</v>
      </c>
      <c r="B22" s="1">
        <v>45</v>
      </c>
      <c r="F22" s="1">
        <v>44</v>
      </c>
      <c r="L22" s="1">
        <v>53</v>
      </c>
    </row>
    <row r="23" spans="1:12" x14ac:dyDescent="0.2">
      <c r="A23" s="1" t="s">
        <v>38</v>
      </c>
      <c r="B23" s="1">
        <v>31</v>
      </c>
      <c r="F23" s="1">
        <v>38</v>
      </c>
      <c r="L23" s="1">
        <v>36</v>
      </c>
    </row>
    <row r="24" spans="1:12" x14ac:dyDescent="0.2">
      <c r="A24" s="1" t="s">
        <v>19</v>
      </c>
      <c r="B24" s="1">
        <v>31</v>
      </c>
      <c r="F24" s="1">
        <v>37</v>
      </c>
      <c r="L24" s="1">
        <v>38</v>
      </c>
    </row>
    <row r="25" spans="1:12" x14ac:dyDescent="0.2">
      <c r="A25" s="1" t="s">
        <v>4</v>
      </c>
      <c r="B25" s="1">
        <v>57</v>
      </c>
      <c r="F25" s="1">
        <v>47</v>
      </c>
      <c r="L25" s="1">
        <v>39</v>
      </c>
    </row>
    <row r="26" spans="1:12" x14ac:dyDescent="0.2">
      <c r="A26" s="1" t="s">
        <v>6</v>
      </c>
      <c r="B26" s="1">
        <v>54</v>
      </c>
      <c r="F26" s="1">
        <v>54</v>
      </c>
      <c r="L26" s="1">
        <v>56</v>
      </c>
    </row>
    <row r="27" spans="1:12" x14ac:dyDescent="0.2">
      <c r="A27" s="1" t="s">
        <v>28</v>
      </c>
      <c r="B27" s="1">
        <v>59</v>
      </c>
      <c r="F27" s="1">
        <v>76</v>
      </c>
      <c r="L27" s="1">
        <v>69</v>
      </c>
    </row>
    <row r="28" spans="1:12" x14ac:dyDescent="0.2">
      <c r="A28" s="1" t="s">
        <v>8</v>
      </c>
      <c r="B28" s="1">
        <v>47</v>
      </c>
      <c r="F28" s="1">
        <v>41</v>
      </c>
      <c r="L28" s="1">
        <v>42</v>
      </c>
    </row>
    <row r="29" spans="1:12" x14ac:dyDescent="0.2">
      <c r="A29" s="1" t="s">
        <v>33</v>
      </c>
      <c r="B29" s="1">
        <v>43</v>
      </c>
      <c r="F29" s="1">
        <v>75</v>
      </c>
      <c r="L29" s="1">
        <v>81</v>
      </c>
    </row>
  </sheetData>
  <pageMargins left="0.7" right="0.7" top="0.75" bottom="0.75" header="0.3" footer="0.3"/>
  <pageSetup orientation="portrait" horizontalDpi="0" verticalDpi="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9045-5D4B-514D-B45E-9AD9C2857F79}">
  <dimension ref="A1:AD23"/>
  <sheetViews>
    <sheetView workbookViewId="0">
      <selection activeCell="B61" sqref="B61"/>
    </sheetView>
  </sheetViews>
  <sheetFormatPr baseColWidth="10" defaultRowHeight="16" x14ac:dyDescent="0.2"/>
  <cols>
    <col min="1" max="16384" width="10.83203125" style="1"/>
  </cols>
  <sheetData>
    <row r="1" spans="1:30" x14ac:dyDescent="0.2">
      <c r="B1" s="1">
        <v>1990</v>
      </c>
      <c r="C1" s="1">
        <v>1991</v>
      </c>
      <c r="D1" s="1">
        <v>1992</v>
      </c>
      <c r="E1" s="1">
        <v>1993</v>
      </c>
      <c r="F1" s="1">
        <v>1994</v>
      </c>
      <c r="G1" s="1">
        <v>1995</v>
      </c>
      <c r="H1" s="1">
        <v>1996</v>
      </c>
      <c r="I1" s="1">
        <v>1997</v>
      </c>
      <c r="J1" s="1">
        <v>1998</v>
      </c>
      <c r="K1" s="1">
        <v>1999</v>
      </c>
      <c r="L1" s="1">
        <v>2000</v>
      </c>
      <c r="M1" s="1">
        <v>2001</v>
      </c>
      <c r="N1" s="1">
        <v>2002</v>
      </c>
      <c r="O1" s="1">
        <v>2003</v>
      </c>
      <c r="P1" s="1">
        <v>2004</v>
      </c>
      <c r="Q1" s="1">
        <v>2005</v>
      </c>
      <c r="R1" s="1">
        <v>2006</v>
      </c>
      <c r="S1" s="1">
        <v>2007</v>
      </c>
      <c r="T1" s="1">
        <v>2008</v>
      </c>
      <c r="U1" s="1">
        <v>2009</v>
      </c>
      <c r="V1" s="1">
        <v>2010</v>
      </c>
      <c r="W1" s="1">
        <v>2011</v>
      </c>
      <c r="X1" s="1">
        <v>2012</v>
      </c>
      <c r="Y1" s="1">
        <v>2013</v>
      </c>
      <c r="Z1" s="1">
        <v>2014</v>
      </c>
      <c r="AA1" s="1">
        <v>2015</v>
      </c>
      <c r="AB1" s="1">
        <v>2016</v>
      </c>
      <c r="AC1" s="1">
        <v>2017</v>
      </c>
      <c r="AD1" s="1">
        <v>2018</v>
      </c>
    </row>
    <row r="2" spans="1:30" x14ac:dyDescent="0.2">
      <c r="A2" s="1" t="s">
        <v>27</v>
      </c>
      <c r="C2" s="1">
        <v>43.568460000000002</v>
      </c>
      <c r="D2" s="1">
        <v>43.287939999999999</v>
      </c>
      <c r="E2" s="1">
        <v>41.658630000000002</v>
      </c>
      <c r="F2" s="1">
        <v>34.31373</v>
      </c>
      <c r="G2" s="1">
        <v>61.738259999999997</v>
      </c>
      <c r="H2" s="1">
        <v>76.464749999999995</v>
      </c>
    </row>
    <row r="3" spans="1:30" x14ac:dyDescent="0.2">
      <c r="A3" s="1" t="s">
        <v>23</v>
      </c>
      <c r="D3" s="1">
        <v>14.31793</v>
      </c>
      <c r="E3" s="1">
        <v>6.364617</v>
      </c>
      <c r="F3" s="1">
        <v>9.9580710000000003</v>
      </c>
      <c r="G3" s="1">
        <v>19.571870000000001</v>
      </c>
      <c r="H3" s="1">
        <v>19.653770000000002</v>
      </c>
    </row>
    <row r="4" spans="1:30" x14ac:dyDescent="0.2">
      <c r="A4" s="1" t="s">
        <v>3</v>
      </c>
      <c r="D4" s="1">
        <v>12.22467</v>
      </c>
      <c r="E4" s="1">
        <v>16.199380000000001</v>
      </c>
      <c r="F4" s="1">
        <v>13.41719</v>
      </c>
      <c r="G4" s="1">
        <v>15.375590000000001</v>
      </c>
      <c r="H4" s="1">
        <v>20.25761</v>
      </c>
    </row>
    <row r="5" spans="1:30" x14ac:dyDescent="0.2">
      <c r="A5" s="1" t="s">
        <v>22</v>
      </c>
      <c r="B5" s="1">
        <v>34.991970000000002</v>
      </c>
      <c r="C5" s="1">
        <v>45.662649999999999</v>
      </c>
      <c r="D5" s="1">
        <v>39.880949999999999</v>
      </c>
      <c r="E5" s="1">
        <v>23.076920000000001</v>
      </c>
      <c r="F5" s="1">
        <v>3.992016</v>
      </c>
      <c r="G5" s="1">
        <v>14.28571</v>
      </c>
      <c r="H5" s="1">
        <v>6.1780099999999996</v>
      </c>
      <c r="I5" s="1">
        <v>20.454550000000001</v>
      </c>
      <c r="N5" s="1">
        <v>17.2</v>
      </c>
      <c r="O5" s="1">
        <f>(14.5+19.5)/2</f>
        <v>17</v>
      </c>
      <c r="P5" s="1">
        <v>18.5</v>
      </c>
      <c r="Q5" s="1">
        <v>20</v>
      </c>
      <c r="R5" s="1">
        <v>22</v>
      </c>
      <c r="S5" s="1">
        <v>26</v>
      </c>
      <c r="U5" s="1">
        <v>21</v>
      </c>
      <c r="V5" s="1">
        <v>25</v>
      </c>
      <c r="W5" s="1">
        <v>27</v>
      </c>
      <c r="X5" s="1">
        <f>(20+24)/2</f>
        <v>22</v>
      </c>
      <c r="Y5" s="1">
        <f>(15+14)/2</f>
        <v>14.5</v>
      </c>
      <c r="Z5" s="1">
        <f>(20+21)/2</f>
        <v>20.5</v>
      </c>
      <c r="AA5" s="1">
        <f>(30+28)/2</f>
        <v>29</v>
      </c>
      <c r="AB5" s="1">
        <f>(30+31)/2</f>
        <v>30.5</v>
      </c>
      <c r="AC5" s="1">
        <f>(39+34)/2</f>
        <v>36.5</v>
      </c>
      <c r="AD5" s="1">
        <v>36</v>
      </c>
    </row>
    <row r="6" spans="1:30" x14ac:dyDescent="0.2">
      <c r="A6" s="1" t="s">
        <v>12</v>
      </c>
      <c r="G6" s="1">
        <v>51.115830000000003</v>
      </c>
      <c r="H6" s="1">
        <v>39.032260000000001</v>
      </c>
      <c r="Q6" s="1">
        <v>21</v>
      </c>
      <c r="R6" s="1">
        <v>22</v>
      </c>
      <c r="S6" s="1">
        <v>32</v>
      </c>
      <c r="U6" s="1">
        <v>14</v>
      </c>
      <c r="V6" s="1">
        <v>23</v>
      </c>
      <c r="Y6" s="1">
        <f>(20+18)/2</f>
        <v>19</v>
      </c>
      <c r="Z6" s="1">
        <f>(20+24)/2</f>
        <v>22</v>
      </c>
      <c r="AA6" s="1">
        <f>(44+29)/2</f>
        <v>36.5</v>
      </c>
      <c r="AB6" s="1">
        <f>(32+37)/2</f>
        <v>34.5</v>
      </c>
      <c r="AC6" s="1">
        <f>(27+30)/2</f>
        <v>28.5</v>
      </c>
      <c r="AD6" s="1">
        <v>35</v>
      </c>
    </row>
    <row r="7" spans="1:30" x14ac:dyDescent="0.2">
      <c r="A7" s="1" t="s">
        <v>37</v>
      </c>
      <c r="B7" s="1">
        <v>64.198899999999995</v>
      </c>
      <c r="C7" s="1">
        <v>35.285510000000002</v>
      </c>
      <c r="D7" s="1">
        <v>39.618409999999997</v>
      </c>
      <c r="E7" s="1">
        <v>49.746839999999999</v>
      </c>
      <c r="F7" s="1">
        <v>45.130180000000003</v>
      </c>
      <c r="G7" s="1">
        <v>48.115940000000002</v>
      </c>
      <c r="H7" s="1">
        <v>41.967869999999998</v>
      </c>
      <c r="I7" s="1">
        <v>39.433549999999997</v>
      </c>
      <c r="N7" s="1">
        <v>43.4</v>
      </c>
      <c r="O7" s="1">
        <f>(44+43.6)/2</f>
        <v>43.8</v>
      </c>
      <c r="P7" s="1">
        <v>44.4</v>
      </c>
      <c r="Q7" s="1">
        <v>48</v>
      </c>
      <c r="R7" s="1">
        <v>58</v>
      </c>
      <c r="S7" s="1">
        <v>51</v>
      </c>
      <c r="U7" s="1">
        <v>48</v>
      </c>
      <c r="V7" s="1">
        <v>45</v>
      </c>
      <c r="W7" s="1">
        <v>31</v>
      </c>
      <c r="X7" s="1">
        <f>(31+30)/2</f>
        <v>30.5</v>
      </c>
      <c r="Y7" s="1">
        <f>(33+34)/2</f>
        <v>33.5</v>
      </c>
      <c r="Z7" s="1">
        <f>(42+47)/2</f>
        <v>44.5</v>
      </c>
      <c r="AA7" s="1">
        <f>(52+49)/2</f>
        <v>50.5</v>
      </c>
      <c r="AB7" s="1">
        <f>(53+58)/2</f>
        <v>55.5</v>
      </c>
      <c r="AC7" s="1">
        <f>(63+55)/2</f>
        <v>59</v>
      </c>
      <c r="AD7" s="1">
        <v>64</v>
      </c>
    </row>
    <row r="8" spans="1:30" x14ac:dyDescent="0.2">
      <c r="A8" s="1" t="s">
        <v>13</v>
      </c>
      <c r="C8" s="1">
        <v>35.763890000000004</v>
      </c>
      <c r="D8" s="1">
        <v>29.922989999999999</v>
      </c>
      <c r="E8" s="1">
        <v>41.037199999999999</v>
      </c>
      <c r="F8" s="1">
        <v>35.745139999999999</v>
      </c>
      <c r="G8" s="1">
        <v>39.561590000000002</v>
      </c>
      <c r="H8" s="1">
        <v>42.196530000000003</v>
      </c>
      <c r="I8" s="1">
        <v>44.38306</v>
      </c>
      <c r="N8" s="1">
        <v>33.4</v>
      </c>
      <c r="O8" s="1">
        <f>(34.7+33.4)/2</f>
        <v>34.049999999999997</v>
      </c>
      <c r="P8" s="1">
        <v>29.6</v>
      </c>
      <c r="Q8" s="1">
        <v>44</v>
      </c>
      <c r="R8" s="1">
        <v>42</v>
      </c>
      <c r="S8" s="1">
        <v>53</v>
      </c>
      <c r="U8" s="1">
        <v>41</v>
      </c>
      <c r="V8" s="1">
        <v>45</v>
      </c>
      <c r="W8" s="1">
        <v>46</v>
      </c>
      <c r="X8" s="1">
        <f>(44+38)/2</f>
        <v>41</v>
      </c>
      <c r="Y8" s="1">
        <f>(40+38)/2</f>
        <v>39</v>
      </c>
      <c r="Z8" s="1">
        <f>(57+49)/2</f>
        <v>53</v>
      </c>
      <c r="AA8" s="1">
        <f>(47+47)/2</f>
        <v>47</v>
      </c>
      <c r="AB8" s="1">
        <f>(51+51)/2</f>
        <v>51</v>
      </c>
      <c r="AC8" s="1">
        <f>(56+57)/2</f>
        <v>56.5</v>
      </c>
      <c r="AD8" s="1">
        <v>58</v>
      </c>
    </row>
    <row r="9" spans="1:30" x14ac:dyDescent="0.2">
      <c r="A9" s="1" t="s">
        <v>26</v>
      </c>
      <c r="D9" s="1">
        <v>51.448549999999997</v>
      </c>
      <c r="F9" s="1">
        <v>19.848980000000001</v>
      </c>
      <c r="G9" s="1">
        <v>48.994709999999998</v>
      </c>
      <c r="H9" s="1">
        <v>45.510840000000002</v>
      </c>
    </row>
    <row r="10" spans="1:30" x14ac:dyDescent="0.2">
      <c r="A10" s="1" t="s">
        <v>9</v>
      </c>
      <c r="B10" s="1">
        <v>20.837810000000001</v>
      </c>
      <c r="C10" s="1">
        <v>33.631279999999997</v>
      </c>
      <c r="D10" s="1">
        <v>24.050630000000002</v>
      </c>
      <c r="E10" s="1">
        <v>21.436340000000001</v>
      </c>
      <c r="F10" s="1">
        <v>27.605319999999999</v>
      </c>
      <c r="G10" s="1">
        <v>20.55498</v>
      </c>
      <c r="H10" s="1">
        <v>21.96162</v>
      </c>
      <c r="I10" s="1">
        <v>33.199199999999998</v>
      </c>
      <c r="N10" s="1">
        <v>38.5</v>
      </c>
      <c r="O10" s="1">
        <f>(40.6+33.3)/2</f>
        <v>36.950000000000003</v>
      </c>
      <c r="P10" s="1">
        <v>31.1</v>
      </c>
      <c r="Q10" s="1">
        <v>27</v>
      </c>
      <c r="R10" s="1">
        <v>45</v>
      </c>
      <c r="S10" s="1">
        <v>24</v>
      </c>
      <c r="U10" s="1">
        <v>23</v>
      </c>
      <c r="V10" s="1">
        <v>35</v>
      </c>
      <c r="W10" s="1">
        <v>30</v>
      </c>
      <c r="X10" s="1">
        <f>(25+29)/2</f>
        <v>27</v>
      </c>
      <c r="Y10" s="1">
        <f>(31+39)/2</f>
        <v>35</v>
      </c>
      <c r="Z10" s="1">
        <f>(36+35)/2</f>
        <v>35.5</v>
      </c>
      <c r="AA10" s="1">
        <f>(38+45)/2</f>
        <v>41.5</v>
      </c>
      <c r="AB10" s="1">
        <f>(34+42)/2</f>
        <v>38</v>
      </c>
      <c r="AC10" s="1">
        <f>(50+39)/2</f>
        <v>44.5</v>
      </c>
      <c r="AD10" s="1">
        <v>52</v>
      </c>
    </row>
    <row r="11" spans="1:30" x14ac:dyDescent="0.2">
      <c r="A11" s="1" t="s">
        <v>7</v>
      </c>
      <c r="F11" s="1">
        <v>13.93258</v>
      </c>
      <c r="G11" s="1">
        <v>24.471640000000001</v>
      </c>
      <c r="H11" s="1">
        <v>17.891369999999998</v>
      </c>
    </row>
    <row r="12" spans="1:30" x14ac:dyDescent="0.2">
      <c r="A12" s="1" t="s">
        <v>20</v>
      </c>
      <c r="C12" s="1">
        <v>41.628959999999999</v>
      </c>
      <c r="D12" s="1">
        <v>17.484010000000001</v>
      </c>
      <c r="E12" s="1">
        <v>33.69923</v>
      </c>
      <c r="F12" s="1">
        <v>26.9556</v>
      </c>
      <c r="G12" s="1">
        <v>30.582519999999999</v>
      </c>
      <c r="H12" s="1">
        <v>28.8049</v>
      </c>
      <c r="I12" s="1">
        <v>29.192550000000001</v>
      </c>
      <c r="N12" s="1">
        <v>36.1</v>
      </c>
      <c r="O12" s="1">
        <f>(38.1+39.7)/2</f>
        <v>38.900000000000006</v>
      </c>
      <c r="P12" s="1">
        <v>34.4</v>
      </c>
      <c r="Q12" s="1">
        <v>43</v>
      </c>
      <c r="R12" s="1">
        <v>41</v>
      </c>
      <c r="S12" s="1">
        <v>43</v>
      </c>
      <c r="U12" s="1">
        <v>21</v>
      </c>
      <c r="V12" s="1">
        <v>32</v>
      </c>
      <c r="W12" s="1">
        <v>38</v>
      </c>
      <c r="X12" s="1">
        <f>(41+42)/2</f>
        <v>41.5</v>
      </c>
      <c r="Y12" s="1">
        <f>(41+42)/2</f>
        <v>41.5</v>
      </c>
      <c r="Z12" s="1">
        <f>(47+47)/2</f>
        <v>47</v>
      </c>
      <c r="AA12" s="1">
        <f>(48+47)/2</f>
        <v>47.5</v>
      </c>
      <c r="AB12" s="1">
        <f>(53+52)/2</f>
        <v>52.5</v>
      </c>
      <c r="AC12" s="1">
        <f>(52+51)/2</f>
        <v>51.5</v>
      </c>
      <c r="AD12" s="1">
        <v>54</v>
      </c>
    </row>
    <row r="13" spans="1:30" x14ac:dyDescent="0.2">
      <c r="A13" s="1" t="s">
        <v>21</v>
      </c>
      <c r="C13" s="1">
        <v>61.747340000000001</v>
      </c>
      <c r="D13" s="1">
        <v>51.73536</v>
      </c>
      <c r="E13" s="1">
        <v>38.100320000000004</v>
      </c>
      <c r="F13" s="1">
        <v>35.949100000000001</v>
      </c>
      <c r="G13" s="1">
        <v>27.22401</v>
      </c>
      <c r="H13" s="1">
        <v>33.260390000000001</v>
      </c>
      <c r="I13" s="1">
        <v>44.635190000000001</v>
      </c>
      <c r="N13" s="1">
        <v>36.1</v>
      </c>
      <c r="O13" s="1">
        <f>(40.2+39.4)/2</f>
        <v>39.799999999999997</v>
      </c>
      <c r="P13" s="1">
        <v>28.9</v>
      </c>
      <c r="Q13" s="1">
        <v>23</v>
      </c>
      <c r="R13" s="1">
        <v>23</v>
      </c>
      <c r="S13" s="1">
        <v>24</v>
      </c>
      <c r="U13" s="1">
        <v>18</v>
      </c>
      <c r="V13" s="1">
        <v>17</v>
      </c>
      <c r="W13" s="1">
        <v>23</v>
      </c>
      <c r="X13" s="1">
        <f>(18+21)/2</f>
        <v>19.5</v>
      </c>
      <c r="Y13" s="1">
        <f>(25+22)/2</f>
        <v>23.5</v>
      </c>
      <c r="Z13" s="1">
        <f>(36+30)/2</f>
        <v>33</v>
      </c>
      <c r="AA13" s="1">
        <f>(34+37)/2</f>
        <v>35.5</v>
      </c>
      <c r="AB13" s="1">
        <f>(30+42)/2</f>
        <v>36</v>
      </c>
      <c r="AC13" s="1">
        <f>(32+36)/2</f>
        <v>34</v>
      </c>
      <c r="AD13" s="1">
        <v>34</v>
      </c>
    </row>
    <row r="14" spans="1:30" x14ac:dyDescent="0.2">
      <c r="A14" s="1" t="s">
        <v>15</v>
      </c>
      <c r="D14" s="1">
        <v>51.136360000000003</v>
      </c>
      <c r="E14" s="1">
        <v>46.783630000000002</v>
      </c>
      <c r="F14" s="1">
        <v>35.793729999999996</v>
      </c>
      <c r="G14" s="1">
        <v>39.743589999999998</v>
      </c>
      <c r="H14" s="1">
        <v>40.890270000000001</v>
      </c>
      <c r="S14" s="1">
        <v>53</v>
      </c>
      <c r="U14" s="1">
        <v>52</v>
      </c>
      <c r="V14" s="1">
        <v>45</v>
      </c>
    </row>
    <row r="15" spans="1:30" x14ac:dyDescent="0.2">
      <c r="A15" s="1" t="s">
        <v>16</v>
      </c>
      <c r="D15" s="1">
        <v>37.806179999999998</v>
      </c>
    </row>
    <row r="16" spans="1:30" x14ac:dyDescent="0.2">
      <c r="A16" s="1" t="s">
        <v>11</v>
      </c>
      <c r="B16" s="1">
        <v>50.393700000000003</v>
      </c>
      <c r="C16" s="1">
        <v>34.640520000000002</v>
      </c>
      <c r="D16" s="1">
        <v>36.026940000000003</v>
      </c>
      <c r="E16" s="1">
        <v>43.981479999999998</v>
      </c>
      <c r="F16" s="1">
        <v>27.35426</v>
      </c>
      <c r="G16" s="1">
        <v>56.75676</v>
      </c>
      <c r="H16" s="1">
        <v>48.508290000000002</v>
      </c>
      <c r="I16" s="1">
        <v>63.20346</v>
      </c>
      <c r="N16" s="1">
        <v>26</v>
      </c>
      <c r="O16" s="1">
        <f>(23.1+21.7)/2</f>
        <v>22.4</v>
      </c>
      <c r="P16" s="1">
        <v>15.4</v>
      </c>
      <c r="Q16" s="1">
        <v>29</v>
      </c>
      <c r="R16" s="1">
        <v>39</v>
      </c>
      <c r="S16" s="1">
        <v>48</v>
      </c>
      <c r="U16" s="1">
        <v>44</v>
      </c>
      <c r="V16" s="1">
        <v>54</v>
      </c>
      <c r="W16" s="1">
        <v>59</v>
      </c>
      <c r="X16" s="1">
        <f>(47+48)/2</f>
        <v>47.5</v>
      </c>
      <c r="Y16" s="1">
        <f>(47+55)/2</f>
        <v>51</v>
      </c>
      <c r="Z16" s="1">
        <f>(52+59)/2</f>
        <v>55.5</v>
      </c>
      <c r="AA16" s="1">
        <f>(55+62)/2</f>
        <v>58.5</v>
      </c>
      <c r="AB16" s="1">
        <f>(50+57)/2</f>
        <v>53.5</v>
      </c>
      <c r="AC16" s="1">
        <f>(56+61)/2</f>
        <v>58.5</v>
      </c>
      <c r="AD16" s="1">
        <v>59</v>
      </c>
    </row>
    <row r="17" spans="1:30" x14ac:dyDescent="0.2">
      <c r="A17" s="1" t="s">
        <v>17</v>
      </c>
      <c r="C17" s="1">
        <v>43.080120000000001</v>
      </c>
      <c r="D17" s="1">
        <v>29.3279</v>
      </c>
      <c r="E17" s="1">
        <v>34.350389999999997</v>
      </c>
      <c r="F17" s="1">
        <v>30.971340000000001</v>
      </c>
      <c r="G17" s="1">
        <v>38.398539999999997</v>
      </c>
      <c r="H17" s="1">
        <v>56.051499999999997</v>
      </c>
      <c r="I17" s="1">
        <v>47.480620000000002</v>
      </c>
      <c r="N17" s="1">
        <v>28.3</v>
      </c>
      <c r="O17" s="1">
        <f>(22.1+21.7)/2</f>
        <v>21.9</v>
      </c>
      <c r="P17" s="1">
        <v>18.3</v>
      </c>
      <c r="Q17" s="1">
        <v>29</v>
      </c>
      <c r="R17" s="1">
        <v>27</v>
      </c>
      <c r="S17" s="1">
        <v>36</v>
      </c>
      <c r="U17" s="1">
        <v>18</v>
      </c>
      <c r="V17" s="1">
        <v>20</v>
      </c>
      <c r="W17" s="1">
        <v>22</v>
      </c>
      <c r="X17" s="1">
        <f>(20+13)/2</f>
        <v>16.5</v>
      </c>
      <c r="Y17" s="1">
        <f>(18+15)/2</f>
        <v>16.5</v>
      </c>
      <c r="Z17" s="1">
        <f>(23+25)/2</f>
        <v>24</v>
      </c>
      <c r="AA17" s="1">
        <f>(30+34)/2</f>
        <v>32</v>
      </c>
      <c r="AB17" s="1">
        <f>(31+38)/2</f>
        <v>34.5</v>
      </c>
      <c r="AC17" s="1">
        <f>(33+34)/2</f>
        <v>33.5</v>
      </c>
      <c r="AD17" s="1">
        <v>33</v>
      </c>
    </row>
    <row r="18" spans="1:30" x14ac:dyDescent="0.2">
      <c r="A18" s="1" t="s">
        <v>38</v>
      </c>
      <c r="C18" s="1">
        <v>18.331230000000001</v>
      </c>
      <c r="D18" s="1">
        <v>13.02857</v>
      </c>
      <c r="E18" s="1">
        <v>16.959060000000001</v>
      </c>
      <c r="F18" s="1">
        <v>8.0173349999999992</v>
      </c>
      <c r="G18" s="1">
        <v>6.5740740000000004</v>
      </c>
      <c r="H18" s="1">
        <v>8.5594990000000006</v>
      </c>
    </row>
    <row r="19" spans="1:30" x14ac:dyDescent="0.2">
      <c r="A19" s="1" t="s">
        <v>39</v>
      </c>
      <c r="H19" s="1">
        <v>40.560949999999998</v>
      </c>
    </row>
    <row r="20" spans="1:30" x14ac:dyDescent="0.2">
      <c r="A20" s="1" t="s">
        <v>4</v>
      </c>
      <c r="B20" s="1">
        <v>56.966290000000001</v>
      </c>
      <c r="C20" s="1">
        <v>17.22054</v>
      </c>
      <c r="D20" s="1">
        <v>24.089639999999999</v>
      </c>
      <c r="E20" s="1">
        <v>20.663650000000001</v>
      </c>
      <c r="F20" s="1">
        <v>17.287780000000001</v>
      </c>
      <c r="G20" s="1">
        <v>28.478059999999999</v>
      </c>
      <c r="H20" s="1">
        <v>23.016649999999998</v>
      </c>
      <c r="I20" s="1">
        <v>24.63768</v>
      </c>
      <c r="N20" s="1">
        <v>18.7</v>
      </c>
      <c r="O20" s="1">
        <f>(23.7+17.5)/2</f>
        <v>20.6</v>
      </c>
      <c r="P20" s="1">
        <v>16.7</v>
      </c>
      <c r="Q20" s="1">
        <v>25</v>
      </c>
      <c r="R20" s="1">
        <v>25</v>
      </c>
      <c r="S20" s="1">
        <v>35</v>
      </c>
      <c r="U20" s="1">
        <v>40</v>
      </c>
      <c r="V20" s="1">
        <v>35</v>
      </c>
      <c r="W20" s="1">
        <v>33</v>
      </c>
      <c r="X20" s="1">
        <f>(33+29)/2</f>
        <v>31</v>
      </c>
      <c r="Y20" s="1">
        <f>(29+23)/2</f>
        <v>26</v>
      </c>
      <c r="Z20" s="1">
        <f>(25+27)/2</f>
        <v>26</v>
      </c>
      <c r="AA20" s="1">
        <f>(31+35)/2</f>
        <v>33</v>
      </c>
      <c r="AB20" s="1">
        <f>(38+43)/2</f>
        <v>40.5</v>
      </c>
      <c r="AC20" s="1">
        <f>(35+41)/2</f>
        <v>38</v>
      </c>
      <c r="AD20" s="1">
        <v>38</v>
      </c>
    </row>
    <row r="21" spans="1:30" x14ac:dyDescent="0.2">
      <c r="A21" s="1" t="s">
        <v>6</v>
      </c>
      <c r="D21" s="1">
        <v>49.853659999999998</v>
      </c>
      <c r="E21" s="1">
        <v>36.753929999999997</v>
      </c>
      <c r="F21" s="1">
        <v>34.970529999999997</v>
      </c>
      <c r="G21" s="1">
        <v>38.217120000000001</v>
      </c>
      <c r="H21" s="1">
        <v>43.802419999999998</v>
      </c>
      <c r="I21" s="1">
        <v>40.98039</v>
      </c>
      <c r="N21" s="1">
        <v>45.6</v>
      </c>
      <c r="O21" s="1">
        <f>(48.1+52.3)/2</f>
        <v>50.2</v>
      </c>
      <c r="P21" s="1">
        <v>43.8</v>
      </c>
      <c r="Q21" s="1">
        <v>56</v>
      </c>
      <c r="R21" s="1">
        <v>54</v>
      </c>
      <c r="S21" s="1">
        <v>48</v>
      </c>
      <c r="U21" s="1">
        <v>37</v>
      </c>
      <c r="V21" s="1">
        <v>38</v>
      </c>
      <c r="W21" s="1">
        <v>31</v>
      </c>
      <c r="X21" s="1">
        <f>(29+26)/2</f>
        <v>27.5</v>
      </c>
      <c r="Y21" s="1">
        <f>(20+17)/2</f>
        <v>18.5</v>
      </c>
      <c r="Z21" s="1">
        <f>(22+22)/2</f>
        <v>22</v>
      </c>
      <c r="AA21" s="1">
        <f>(28+30)/2</f>
        <v>29</v>
      </c>
      <c r="AB21" s="1">
        <f>(30+36)/2</f>
        <v>33</v>
      </c>
      <c r="AC21" s="1">
        <f>(35+42)/2</f>
        <v>38.5</v>
      </c>
      <c r="AD21" s="1">
        <v>39</v>
      </c>
    </row>
    <row r="22" spans="1:30" x14ac:dyDescent="0.2">
      <c r="A22" s="1" t="s">
        <v>8</v>
      </c>
      <c r="D22" s="1">
        <v>20.92257</v>
      </c>
      <c r="E22" s="1">
        <v>16.94417</v>
      </c>
      <c r="F22" s="1">
        <v>18.048780000000001</v>
      </c>
      <c r="G22" s="1">
        <v>17.098939999999999</v>
      </c>
      <c r="H22" s="1">
        <v>20.756550000000001</v>
      </c>
    </row>
    <row r="23" spans="1:30" x14ac:dyDescent="0.2">
      <c r="A23" s="1" t="s">
        <v>120</v>
      </c>
      <c r="B23" s="1">
        <v>58.199750000000002</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25EC-2BD1-0F4A-9734-964842D48ADB}">
  <dimension ref="A1:U20"/>
  <sheetViews>
    <sheetView workbookViewId="0">
      <selection activeCell="B61" sqref="B61"/>
    </sheetView>
  </sheetViews>
  <sheetFormatPr baseColWidth="10" defaultRowHeight="16" x14ac:dyDescent="0.2"/>
  <cols>
    <col min="1" max="16384" width="10.83203125" style="1"/>
  </cols>
  <sheetData>
    <row r="1" spans="1:21" x14ac:dyDescent="0.2">
      <c r="B1" s="1">
        <v>1991</v>
      </c>
      <c r="C1" s="1">
        <v>1992</v>
      </c>
      <c r="D1" s="1">
        <v>1993</v>
      </c>
      <c r="E1" s="1">
        <v>1994</v>
      </c>
      <c r="F1" s="1">
        <v>1995</v>
      </c>
      <c r="G1" s="1">
        <v>1996</v>
      </c>
      <c r="H1" s="1">
        <v>1997</v>
      </c>
      <c r="I1" s="1">
        <v>1998</v>
      </c>
      <c r="J1" s="1">
        <v>1999</v>
      </c>
      <c r="K1" s="1">
        <v>2000</v>
      </c>
      <c r="L1" s="1">
        <v>2001</v>
      </c>
      <c r="M1" s="1">
        <v>2002</v>
      </c>
      <c r="N1" s="1">
        <v>2003</v>
      </c>
      <c r="O1" s="1">
        <v>2004</v>
      </c>
      <c r="P1" s="1">
        <v>2005</v>
      </c>
      <c r="Q1" s="1">
        <v>2006</v>
      </c>
      <c r="R1" s="1">
        <v>2007</v>
      </c>
      <c r="S1" s="1">
        <v>2008</v>
      </c>
      <c r="T1" s="1">
        <v>2009</v>
      </c>
      <c r="U1" s="1">
        <v>2010</v>
      </c>
    </row>
    <row r="2" spans="1:21" x14ac:dyDescent="0.2">
      <c r="A2" s="1" t="s">
        <v>3</v>
      </c>
      <c r="C2" s="1">
        <v>35</v>
      </c>
      <c r="D2" s="1">
        <v>29</v>
      </c>
      <c r="F2" s="1">
        <v>35</v>
      </c>
      <c r="I2" s="1">
        <v>48</v>
      </c>
      <c r="L2" s="1">
        <v>47</v>
      </c>
      <c r="O2" s="1">
        <v>74</v>
      </c>
    </row>
    <row r="3" spans="1:21" x14ac:dyDescent="0.2">
      <c r="A3" s="1" t="s">
        <v>36</v>
      </c>
      <c r="O3" s="1">
        <f>(10*597+33*260+14*643)/(597+260+643)</f>
        <v>15.701333333333332</v>
      </c>
    </row>
    <row r="4" spans="1:21" x14ac:dyDescent="0.2">
      <c r="A4" s="1" t="s">
        <v>22</v>
      </c>
      <c r="B4" s="1">
        <v>64</v>
      </c>
      <c r="C4" s="1">
        <v>55</v>
      </c>
      <c r="D4" s="1">
        <v>59</v>
      </c>
      <c r="F4" s="1">
        <v>66</v>
      </c>
      <c r="I4" s="1">
        <v>58</v>
      </c>
      <c r="L4" s="1">
        <v>59</v>
      </c>
      <c r="O4" s="1">
        <v>52</v>
      </c>
    </row>
    <row r="5" spans="1:21" x14ac:dyDescent="0.2">
      <c r="A5" s="1" t="s">
        <v>12</v>
      </c>
      <c r="C5" s="1">
        <v>42</v>
      </c>
      <c r="D5" s="1">
        <v>51</v>
      </c>
      <c r="F5" s="1">
        <v>44</v>
      </c>
      <c r="I5" s="1">
        <v>27</v>
      </c>
      <c r="L5" s="1">
        <v>35</v>
      </c>
      <c r="M5" s="1">
        <v>35</v>
      </c>
      <c r="O5" s="1">
        <v>40</v>
      </c>
      <c r="P5" s="1">
        <v>40</v>
      </c>
    </row>
    <row r="6" spans="1:21" x14ac:dyDescent="0.2">
      <c r="A6" s="1" t="s">
        <v>37</v>
      </c>
      <c r="B6" s="1">
        <v>71</v>
      </c>
      <c r="C6" s="1">
        <v>71</v>
      </c>
      <c r="D6" s="1">
        <v>78</v>
      </c>
      <c r="F6" s="1">
        <v>77</v>
      </c>
      <c r="I6" s="1">
        <v>56</v>
      </c>
      <c r="L6" s="1">
        <v>76</v>
      </c>
      <c r="O6" s="1">
        <v>69</v>
      </c>
    </row>
    <row r="7" spans="1:21" x14ac:dyDescent="0.2">
      <c r="A7" s="1" t="s">
        <v>30</v>
      </c>
      <c r="C7" s="1">
        <v>64</v>
      </c>
    </row>
    <row r="8" spans="1:21" x14ac:dyDescent="0.2">
      <c r="A8" s="1" t="s">
        <v>13</v>
      </c>
      <c r="D8" s="1">
        <f>(58*1000+50*987)/(1987)</f>
        <v>54.026170105686965</v>
      </c>
      <c r="F8" s="1">
        <f>(75*651+57*645)/(651+645)</f>
        <v>66.041666666666671</v>
      </c>
      <c r="G8" s="1">
        <f>(69*682+49*389)/(682+389)</f>
        <v>61.735760971055086</v>
      </c>
      <c r="I8" s="1">
        <v>62</v>
      </c>
      <c r="K8" s="1">
        <f>(70*650+62*492)/(650+492)</f>
        <v>66.553415061295965</v>
      </c>
      <c r="L8" s="1">
        <f>(71*677+65*331)/(677+331)</f>
        <v>69.029761904761898</v>
      </c>
      <c r="O8" s="1">
        <f>(76*659+64*341)/(659+341)</f>
        <v>71.908000000000001</v>
      </c>
    </row>
    <row r="9" spans="1:21" x14ac:dyDescent="0.2">
      <c r="A9" s="1" t="s">
        <v>9</v>
      </c>
      <c r="B9" s="1">
        <v>57</v>
      </c>
      <c r="C9" s="1">
        <v>43</v>
      </c>
      <c r="D9" s="1">
        <v>51</v>
      </c>
      <c r="F9" s="1">
        <v>50</v>
      </c>
      <c r="I9" s="1">
        <v>53</v>
      </c>
      <c r="L9" s="1">
        <v>76</v>
      </c>
      <c r="O9" s="1">
        <v>64</v>
      </c>
    </row>
    <row r="10" spans="1:21" x14ac:dyDescent="0.2">
      <c r="A10" s="1" t="s">
        <v>20</v>
      </c>
      <c r="D10" s="1">
        <f>(43*1170+39*967)/(1170+967)</f>
        <v>41.189985961628452</v>
      </c>
      <c r="F10" s="1">
        <f>(45*656+40*517)/(656+517)</f>
        <v>42.796248934356349</v>
      </c>
      <c r="G10" s="1">
        <f>(37*551+30*455)/(551+455)</f>
        <v>33.833996023856862</v>
      </c>
      <c r="I10" s="1">
        <v>35</v>
      </c>
      <c r="K10" s="1">
        <f>(49*649+39*381)/(649+381)</f>
        <v>45.300970873786405</v>
      </c>
      <c r="L10" s="1">
        <f>(56*641+49*360)/(641+360)</f>
        <v>53.48251748251748</v>
      </c>
      <c r="O10" s="1">
        <f>(49*62+43*38)/(62+38)</f>
        <v>46.72</v>
      </c>
    </row>
    <row r="11" spans="1:21" x14ac:dyDescent="0.2">
      <c r="A11" s="1" t="s">
        <v>21</v>
      </c>
      <c r="D11" s="1">
        <f>(46*1009+58*1003)/(1009+1003)</f>
        <v>51.982107355864812</v>
      </c>
      <c r="F11" s="1">
        <f>(34*631+37*239)/(631+239)</f>
        <v>34.824137931034485</v>
      </c>
      <c r="G11" s="1">
        <f>(37*703+42*297)/(703+297)</f>
        <v>38.484999999999999</v>
      </c>
      <c r="I11" s="1">
        <v>39</v>
      </c>
      <c r="K11" s="1">
        <f>(45*900+42*212)/(900+212)</f>
        <v>44.428057553956833</v>
      </c>
      <c r="L11" s="1">
        <f>(47*922+42*202)/(922+202)</f>
        <v>46.101423487544487</v>
      </c>
      <c r="O11" s="1">
        <f>(69*891+67*222)/(891+222)</f>
        <v>68.601078167115901</v>
      </c>
    </row>
    <row r="12" spans="1:21" x14ac:dyDescent="0.2">
      <c r="A12" s="1" t="s">
        <v>24</v>
      </c>
      <c r="M12" s="1">
        <v>52</v>
      </c>
    </row>
    <row r="13" spans="1:21" x14ac:dyDescent="0.2">
      <c r="A13" s="1" t="s">
        <v>11</v>
      </c>
      <c r="B13" s="1">
        <v>52</v>
      </c>
      <c r="C13" s="1">
        <v>56</v>
      </c>
      <c r="D13" s="1">
        <v>69</v>
      </c>
      <c r="F13" s="1">
        <v>76</v>
      </c>
      <c r="I13" s="1">
        <v>66</v>
      </c>
      <c r="L13" s="1">
        <v>66</v>
      </c>
      <c r="O13" s="1">
        <v>51</v>
      </c>
    </row>
    <row r="14" spans="1:21" x14ac:dyDescent="0.2">
      <c r="A14" s="1" t="s">
        <v>17</v>
      </c>
      <c r="B14" s="1">
        <v>69</v>
      </c>
      <c r="C14" s="1">
        <v>68</v>
      </c>
      <c r="D14" s="1">
        <v>60</v>
      </c>
      <c r="F14" s="1">
        <v>60</v>
      </c>
      <c r="I14" s="1">
        <v>66</v>
      </c>
      <c r="L14" s="1">
        <v>50</v>
      </c>
      <c r="O14" s="1">
        <v>50</v>
      </c>
    </row>
    <row r="15" spans="1:21" x14ac:dyDescent="0.2">
      <c r="A15" s="1" t="s">
        <v>38</v>
      </c>
      <c r="C15" s="1">
        <v>14</v>
      </c>
      <c r="D15" s="1">
        <v>36</v>
      </c>
      <c r="E15" s="1">
        <v>35</v>
      </c>
      <c r="F15" s="1">
        <v>26</v>
      </c>
      <c r="G15" s="1">
        <v>33</v>
      </c>
      <c r="I15" s="1">
        <v>36</v>
      </c>
      <c r="K15" s="1">
        <v>38</v>
      </c>
      <c r="L15" s="1">
        <v>47</v>
      </c>
      <c r="N15" s="1">
        <v>60.5</v>
      </c>
      <c r="O15" s="1">
        <v>65</v>
      </c>
      <c r="P15" s="1">
        <v>46</v>
      </c>
      <c r="R15" s="1">
        <v>73</v>
      </c>
      <c r="S15" s="1">
        <v>84</v>
      </c>
      <c r="T15" s="1">
        <v>74</v>
      </c>
    </row>
    <row r="16" spans="1:21" x14ac:dyDescent="0.2">
      <c r="A16" s="1" t="s">
        <v>19</v>
      </c>
      <c r="M16" s="1">
        <v>41</v>
      </c>
    </row>
    <row r="17" spans="1:15" x14ac:dyDescent="0.2">
      <c r="A17" s="1" t="s">
        <v>39</v>
      </c>
      <c r="I17" s="1">
        <v>33</v>
      </c>
    </row>
    <row r="18" spans="1:15" x14ac:dyDescent="0.2">
      <c r="A18" s="1" t="s">
        <v>4</v>
      </c>
      <c r="B18" s="1">
        <v>50</v>
      </c>
      <c r="C18" s="1">
        <v>58</v>
      </c>
      <c r="D18" s="1">
        <v>52</v>
      </c>
      <c r="F18" s="1">
        <v>61</v>
      </c>
      <c r="I18" s="1">
        <v>50</v>
      </c>
      <c r="L18" s="1">
        <v>39</v>
      </c>
      <c r="O18" s="1">
        <v>51</v>
      </c>
    </row>
    <row r="19" spans="1:15" x14ac:dyDescent="0.2">
      <c r="A19" s="1" t="s">
        <v>6</v>
      </c>
      <c r="B19" s="1">
        <v>49</v>
      </c>
      <c r="C19" s="1">
        <v>68</v>
      </c>
      <c r="D19" s="1">
        <v>55</v>
      </c>
      <c r="F19" s="1">
        <v>66</v>
      </c>
      <c r="I19" s="1">
        <v>51</v>
      </c>
      <c r="L19" s="1">
        <v>75</v>
      </c>
      <c r="O19" s="1">
        <v>69</v>
      </c>
    </row>
    <row r="20" spans="1:15" x14ac:dyDescent="0.2">
      <c r="A20" s="1" t="s">
        <v>8</v>
      </c>
      <c r="C20" s="1">
        <v>25</v>
      </c>
      <c r="D20" s="1">
        <v>24</v>
      </c>
      <c r="F20" s="1">
        <v>33</v>
      </c>
      <c r="I20" s="1">
        <v>22</v>
      </c>
      <c r="L20" s="1">
        <v>31</v>
      </c>
      <c r="O20" s="1">
        <v>69</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90F52-E4A7-8642-B5D2-C6FE294B7DF5}">
  <dimension ref="A1:AD10"/>
  <sheetViews>
    <sheetView workbookViewId="0">
      <selection activeCell="B61" sqref="B61"/>
    </sheetView>
  </sheetViews>
  <sheetFormatPr baseColWidth="10" defaultRowHeight="16" x14ac:dyDescent="0.2"/>
  <cols>
    <col min="1" max="16384" width="10.83203125" style="1"/>
  </cols>
  <sheetData>
    <row r="1" spans="1:30" x14ac:dyDescent="0.2">
      <c r="B1" s="1">
        <v>1991</v>
      </c>
      <c r="C1" s="1">
        <v>1992</v>
      </c>
      <c r="D1" s="1">
        <v>1993</v>
      </c>
      <c r="E1" s="1">
        <v>1994</v>
      </c>
      <c r="F1" s="1">
        <v>1995</v>
      </c>
      <c r="G1" s="1">
        <v>1996</v>
      </c>
      <c r="H1" s="1">
        <v>1997</v>
      </c>
      <c r="I1" s="1">
        <v>1998</v>
      </c>
      <c r="J1" s="1">
        <v>1999</v>
      </c>
      <c r="K1" s="1">
        <v>2000</v>
      </c>
      <c r="L1" s="1">
        <v>2001</v>
      </c>
      <c r="M1" s="1">
        <v>2002</v>
      </c>
      <c r="N1" s="1">
        <v>2003</v>
      </c>
      <c r="O1" s="1">
        <v>2004</v>
      </c>
      <c r="P1" s="1">
        <v>2005</v>
      </c>
      <c r="Q1" s="1">
        <v>2006</v>
      </c>
      <c r="R1" s="1">
        <v>2007</v>
      </c>
      <c r="S1" s="1">
        <v>2008</v>
      </c>
      <c r="T1" s="1">
        <v>2009</v>
      </c>
      <c r="U1" s="1">
        <v>2010</v>
      </c>
      <c r="V1" s="1">
        <v>2011</v>
      </c>
      <c r="W1" s="1">
        <v>2012</v>
      </c>
      <c r="X1" s="1">
        <v>2013</v>
      </c>
      <c r="Y1" s="1">
        <v>2014</v>
      </c>
      <c r="Z1" s="1">
        <v>2015</v>
      </c>
      <c r="AA1" s="1">
        <v>2016</v>
      </c>
      <c r="AB1" s="1">
        <v>2017</v>
      </c>
      <c r="AC1" s="1">
        <v>2018</v>
      </c>
      <c r="AD1" s="1">
        <v>2019</v>
      </c>
    </row>
    <row r="2" spans="1:30" x14ac:dyDescent="0.2">
      <c r="A2" s="1" t="s">
        <v>22</v>
      </c>
      <c r="B2" s="1">
        <v>76</v>
      </c>
      <c r="T2" s="1">
        <v>52</v>
      </c>
      <c r="AD2" s="1">
        <v>54</v>
      </c>
    </row>
    <row r="3" spans="1:30" x14ac:dyDescent="0.2">
      <c r="A3" s="1" t="s">
        <v>37</v>
      </c>
      <c r="B3" s="1">
        <v>80</v>
      </c>
      <c r="T3" s="1">
        <v>80</v>
      </c>
      <c r="AD3" s="1">
        <v>82</v>
      </c>
    </row>
    <row r="4" spans="1:30" x14ac:dyDescent="0.2">
      <c r="A4" s="1" t="s">
        <v>9</v>
      </c>
      <c r="B4" s="1">
        <v>74</v>
      </c>
      <c r="T4" s="1">
        <v>56</v>
      </c>
      <c r="AD4" s="1">
        <v>72</v>
      </c>
    </row>
    <row r="5" spans="1:30" x14ac:dyDescent="0.2">
      <c r="A5" s="1" t="s">
        <v>21</v>
      </c>
      <c r="B5" s="1">
        <v>75</v>
      </c>
      <c r="T5" s="1">
        <v>55</v>
      </c>
      <c r="V5" s="1">
        <v>52</v>
      </c>
      <c r="AD5" s="1">
        <v>70</v>
      </c>
    </row>
    <row r="6" spans="1:30" x14ac:dyDescent="0.2">
      <c r="A6" s="1" t="s">
        <v>11</v>
      </c>
      <c r="B6" s="1">
        <v>66</v>
      </c>
      <c r="T6" s="1">
        <v>70</v>
      </c>
      <c r="AD6" s="1">
        <v>85</v>
      </c>
    </row>
    <row r="7" spans="1:30" x14ac:dyDescent="0.2">
      <c r="A7" s="1" t="s">
        <v>38</v>
      </c>
      <c r="B7" s="1">
        <v>61</v>
      </c>
      <c r="T7" s="1">
        <v>53</v>
      </c>
      <c r="V7" s="1">
        <v>50</v>
      </c>
      <c r="AD7" s="1">
        <v>43</v>
      </c>
    </row>
    <row r="8" spans="1:30" x14ac:dyDescent="0.2">
      <c r="A8" s="1" t="s">
        <v>4</v>
      </c>
      <c r="B8" s="1">
        <v>70</v>
      </c>
      <c r="T8" s="1">
        <v>71</v>
      </c>
      <c r="AD8" s="1">
        <v>74</v>
      </c>
    </row>
    <row r="9" spans="1:30" x14ac:dyDescent="0.2">
      <c r="A9" s="1" t="s">
        <v>8</v>
      </c>
      <c r="B9" s="1">
        <v>72</v>
      </c>
      <c r="T9" s="1">
        <v>30</v>
      </c>
      <c r="V9" s="1">
        <v>35</v>
      </c>
      <c r="AD9" s="1">
        <v>51</v>
      </c>
    </row>
    <row r="10" spans="1:30" x14ac:dyDescent="0.2">
      <c r="A10" s="1" t="s">
        <v>120</v>
      </c>
      <c r="B10" s="1">
        <v>91</v>
      </c>
      <c r="T10" s="1">
        <v>85</v>
      </c>
      <c r="AD10" s="1">
        <v>85</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E7A1C-8CCF-C249-8175-1D87E8C66E2D}">
  <dimension ref="A1:L29"/>
  <sheetViews>
    <sheetView workbookViewId="0">
      <selection activeCell="B61" sqref="B61"/>
    </sheetView>
  </sheetViews>
  <sheetFormatPr baseColWidth="10" defaultRowHeight="16" x14ac:dyDescent="0.2"/>
  <cols>
    <col min="1" max="16384" width="10.83203125" style="1"/>
  </cols>
  <sheetData>
    <row r="1" spans="1:12" x14ac:dyDescent="0.2">
      <c r="B1" s="1">
        <v>2006</v>
      </c>
      <c r="C1" s="1">
        <v>2007</v>
      </c>
      <c r="D1" s="1">
        <v>2008</v>
      </c>
      <c r="E1" s="1">
        <v>2009</v>
      </c>
      <c r="F1" s="1">
        <v>2010</v>
      </c>
      <c r="G1" s="1">
        <v>2011</v>
      </c>
      <c r="H1" s="1">
        <v>2012</v>
      </c>
      <c r="I1" s="1">
        <v>2013</v>
      </c>
      <c r="J1" s="1">
        <v>2014</v>
      </c>
      <c r="K1" s="1">
        <v>2015</v>
      </c>
      <c r="L1" s="1">
        <v>2016</v>
      </c>
    </row>
    <row r="2" spans="1:12" x14ac:dyDescent="0.2">
      <c r="A2" s="1" t="s">
        <v>27</v>
      </c>
      <c r="B2" s="1">
        <v>59</v>
      </c>
      <c r="F2" s="1">
        <v>51</v>
      </c>
      <c r="L2" s="1">
        <v>50</v>
      </c>
    </row>
    <row r="3" spans="1:12" x14ac:dyDescent="0.2">
      <c r="A3" s="1" t="s">
        <v>23</v>
      </c>
      <c r="B3" s="1">
        <v>29</v>
      </c>
      <c r="F3" s="1">
        <v>50</v>
      </c>
      <c r="L3" s="1">
        <v>36</v>
      </c>
    </row>
    <row r="4" spans="1:12" x14ac:dyDescent="0.2">
      <c r="A4" s="1" t="s">
        <v>29</v>
      </c>
      <c r="B4" s="1">
        <v>36</v>
      </c>
      <c r="F4" s="1">
        <v>56</v>
      </c>
      <c r="L4" s="1">
        <v>16</v>
      </c>
    </row>
    <row r="5" spans="1:12" x14ac:dyDescent="0.2">
      <c r="A5" s="1" t="s">
        <v>3</v>
      </c>
      <c r="B5" s="1">
        <v>44</v>
      </c>
      <c r="F5" s="1">
        <v>53</v>
      </c>
      <c r="L5" s="1">
        <v>35</v>
      </c>
    </row>
    <row r="6" spans="1:12" x14ac:dyDescent="0.2">
      <c r="A6" s="1" t="s">
        <v>36</v>
      </c>
      <c r="B6" s="1">
        <v>32</v>
      </c>
      <c r="F6" s="1">
        <v>37</v>
      </c>
      <c r="L6" s="1">
        <v>36</v>
      </c>
    </row>
    <row r="7" spans="1:12" x14ac:dyDescent="0.2">
      <c r="A7" s="1" t="s">
        <v>22</v>
      </c>
      <c r="B7" s="1">
        <v>34</v>
      </c>
      <c r="F7" s="1">
        <v>38</v>
      </c>
      <c r="L7" s="1">
        <v>40</v>
      </c>
    </row>
    <row r="8" spans="1:12" x14ac:dyDescent="0.2">
      <c r="A8" s="1" t="s">
        <v>12</v>
      </c>
      <c r="B8" s="1">
        <v>32</v>
      </c>
      <c r="F8" s="1">
        <v>30</v>
      </c>
      <c r="L8" s="1">
        <v>31</v>
      </c>
    </row>
    <row r="9" spans="1:12" x14ac:dyDescent="0.2">
      <c r="A9" s="1" t="s">
        <v>37</v>
      </c>
      <c r="B9" s="1">
        <v>43</v>
      </c>
    </row>
    <row r="10" spans="1:12" x14ac:dyDescent="0.2">
      <c r="A10" s="1" t="s">
        <v>13</v>
      </c>
      <c r="B10" s="1">
        <v>45</v>
      </c>
      <c r="F10" s="1">
        <v>36</v>
      </c>
      <c r="L10" s="1">
        <v>38</v>
      </c>
    </row>
    <row r="11" spans="1:12" x14ac:dyDescent="0.2">
      <c r="A11" s="1" t="s">
        <v>26</v>
      </c>
      <c r="B11" s="1">
        <v>35</v>
      </c>
      <c r="F11" s="1">
        <v>42</v>
      </c>
      <c r="L11" s="1">
        <v>35</v>
      </c>
    </row>
    <row r="12" spans="1:12" x14ac:dyDescent="0.2">
      <c r="A12" s="1" t="s">
        <v>9</v>
      </c>
      <c r="B12" s="1">
        <v>34</v>
      </c>
      <c r="F12" s="1">
        <v>30</v>
      </c>
      <c r="L12" s="1">
        <v>38</v>
      </c>
    </row>
    <row r="13" spans="1:12" x14ac:dyDescent="0.2">
      <c r="A13" s="1" t="s">
        <v>7</v>
      </c>
      <c r="B13" s="1">
        <v>29</v>
      </c>
      <c r="F13" s="1">
        <v>41</v>
      </c>
      <c r="L13" s="1">
        <v>37</v>
      </c>
    </row>
    <row r="14" spans="1:12" x14ac:dyDescent="0.2">
      <c r="A14" s="1" t="s">
        <v>10</v>
      </c>
      <c r="F14" s="1">
        <v>58</v>
      </c>
      <c r="L14" s="1">
        <v>62</v>
      </c>
    </row>
    <row r="15" spans="1:12" x14ac:dyDescent="0.2">
      <c r="A15" s="1" t="s">
        <v>14</v>
      </c>
      <c r="B15" s="1">
        <v>47</v>
      </c>
      <c r="F15" s="1">
        <v>47</v>
      </c>
      <c r="L15" s="1">
        <v>45</v>
      </c>
    </row>
    <row r="16" spans="1:12" x14ac:dyDescent="0.2">
      <c r="A16" s="1" t="s">
        <v>20</v>
      </c>
      <c r="B16" s="1">
        <v>36</v>
      </c>
      <c r="F16" s="1">
        <v>23</v>
      </c>
      <c r="L16" s="1">
        <v>24</v>
      </c>
    </row>
    <row r="17" spans="1:12" x14ac:dyDescent="0.2">
      <c r="A17" s="1" t="s">
        <v>21</v>
      </c>
      <c r="B17" s="1">
        <v>38</v>
      </c>
      <c r="F17" s="1">
        <v>34</v>
      </c>
      <c r="L17" s="1">
        <v>45</v>
      </c>
    </row>
    <row r="18" spans="1:12" x14ac:dyDescent="0.2">
      <c r="A18" s="1" t="s">
        <v>15</v>
      </c>
      <c r="B18" s="1">
        <v>30</v>
      </c>
      <c r="F18" s="1">
        <v>41</v>
      </c>
      <c r="L18" s="1">
        <v>51</v>
      </c>
    </row>
    <row r="19" spans="1:12" x14ac:dyDescent="0.2">
      <c r="A19" s="1" t="s">
        <v>16</v>
      </c>
      <c r="B19" s="1">
        <v>35</v>
      </c>
      <c r="F19" s="1">
        <v>44</v>
      </c>
      <c r="L19" s="1">
        <v>45</v>
      </c>
    </row>
    <row r="20" spans="1:12" x14ac:dyDescent="0.2">
      <c r="A20" s="1" t="s">
        <v>24</v>
      </c>
      <c r="B20" s="1">
        <v>44</v>
      </c>
      <c r="F20" s="1">
        <v>42</v>
      </c>
      <c r="L20" s="1">
        <v>44</v>
      </c>
    </row>
    <row r="21" spans="1:12" x14ac:dyDescent="0.2">
      <c r="A21" s="1" t="s">
        <v>11</v>
      </c>
      <c r="B21" s="1">
        <v>37</v>
      </c>
      <c r="F21" s="1">
        <v>30</v>
      </c>
      <c r="L21" s="1">
        <v>41</v>
      </c>
    </row>
    <row r="22" spans="1:12" x14ac:dyDescent="0.2">
      <c r="A22" s="1" t="s">
        <v>17</v>
      </c>
      <c r="B22" s="1">
        <v>43</v>
      </c>
      <c r="F22" s="1">
        <v>36</v>
      </c>
      <c r="L22" s="1">
        <v>43</v>
      </c>
    </row>
    <row r="23" spans="1:12" x14ac:dyDescent="0.2">
      <c r="A23" s="1" t="s">
        <v>38</v>
      </c>
      <c r="B23" s="1">
        <v>24</v>
      </c>
      <c r="F23" s="1">
        <v>28</v>
      </c>
      <c r="L23" s="1">
        <v>25</v>
      </c>
    </row>
    <row r="24" spans="1:12" x14ac:dyDescent="0.2">
      <c r="A24" s="1" t="s">
        <v>19</v>
      </c>
      <c r="B24" s="1">
        <v>37</v>
      </c>
      <c r="F24" s="1">
        <v>28</v>
      </c>
      <c r="L24" s="1">
        <v>30</v>
      </c>
    </row>
    <row r="25" spans="1:12" x14ac:dyDescent="0.2">
      <c r="A25" s="1" t="s">
        <v>4</v>
      </c>
      <c r="B25" s="1">
        <v>46</v>
      </c>
      <c r="F25" s="1">
        <v>35</v>
      </c>
      <c r="L25" s="1">
        <v>29</v>
      </c>
    </row>
    <row r="26" spans="1:12" x14ac:dyDescent="0.2">
      <c r="A26" s="1" t="s">
        <v>6</v>
      </c>
      <c r="B26" s="1">
        <v>46</v>
      </c>
      <c r="F26" s="1">
        <v>40</v>
      </c>
      <c r="L26" s="1">
        <v>45</v>
      </c>
    </row>
    <row r="27" spans="1:12" x14ac:dyDescent="0.2">
      <c r="A27" s="1" t="s">
        <v>28</v>
      </c>
      <c r="B27" s="1">
        <v>48</v>
      </c>
      <c r="F27" s="1">
        <v>55</v>
      </c>
      <c r="L27" s="1">
        <v>59</v>
      </c>
    </row>
    <row r="28" spans="1:12" x14ac:dyDescent="0.2">
      <c r="A28" s="1" t="s">
        <v>8</v>
      </c>
      <c r="B28" s="1">
        <v>39</v>
      </c>
      <c r="F28" s="1">
        <v>36</v>
      </c>
      <c r="L28" s="1">
        <v>37</v>
      </c>
    </row>
    <row r="29" spans="1:12" x14ac:dyDescent="0.2">
      <c r="A29" s="1" t="s">
        <v>33</v>
      </c>
      <c r="B29" s="1">
        <v>41</v>
      </c>
      <c r="F29" s="1">
        <v>62</v>
      </c>
      <c r="L29" s="1">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66A2-93ED-0044-91AD-DE596C1AF47C}">
  <dimension ref="A1:AA28"/>
  <sheetViews>
    <sheetView workbookViewId="0">
      <selection activeCell="A15" sqref="A15"/>
    </sheetView>
  </sheetViews>
  <sheetFormatPr baseColWidth="10" defaultRowHeight="16" x14ac:dyDescent="0.2"/>
  <cols>
    <col min="1" max="16384" width="10.83203125" style="1"/>
  </cols>
  <sheetData>
    <row r="1" spans="1:27" x14ac:dyDescent="0.2">
      <c r="B1" s="1">
        <v>1990</v>
      </c>
      <c r="C1" s="1">
        <v>1991</v>
      </c>
      <c r="D1" s="1">
        <v>1992</v>
      </c>
      <c r="E1" s="1">
        <v>1993</v>
      </c>
      <c r="F1" s="1">
        <v>1994</v>
      </c>
      <c r="G1" s="1">
        <v>1995</v>
      </c>
      <c r="H1" s="1">
        <v>1996</v>
      </c>
      <c r="I1" s="1">
        <v>1997</v>
      </c>
      <c r="J1" s="1">
        <v>1998</v>
      </c>
      <c r="K1" s="1">
        <v>1999</v>
      </c>
      <c r="L1" s="1">
        <v>2000</v>
      </c>
      <c r="M1" s="1">
        <v>2001</v>
      </c>
      <c r="N1" s="1">
        <v>2002</v>
      </c>
      <c r="O1" s="1">
        <v>2003</v>
      </c>
      <c r="P1" s="1">
        <v>2004</v>
      </c>
      <c r="Q1" s="1">
        <v>2005</v>
      </c>
      <c r="R1" s="1">
        <v>2006</v>
      </c>
      <c r="S1" s="1">
        <v>2007</v>
      </c>
      <c r="T1" s="1">
        <v>2008</v>
      </c>
      <c r="U1" s="1">
        <v>2009</v>
      </c>
      <c r="V1" s="1">
        <v>2010</v>
      </c>
      <c r="W1" s="1">
        <v>2011</v>
      </c>
      <c r="X1" s="1">
        <v>2012</v>
      </c>
      <c r="Y1" s="1">
        <v>2013</v>
      </c>
      <c r="Z1" s="1">
        <v>2014</v>
      </c>
      <c r="AA1" s="1">
        <v>2015</v>
      </c>
    </row>
    <row r="2" spans="1:27" x14ac:dyDescent="0.2">
      <c r="A2" s="1" t="s">
        <v>27</v>
      </c>
      <c r="B2" s="1">
        <v>0.63500000000000001</v>
      </c>
      <c r="C2" s="1">
        <v>0.61799999999999999</v>
      </c>
      <c r="D2" s="1">
        <v>0.60299999999999998</v>
      </c>
      <c r="E2" s="1">
        <v>0.60799999999999998</v>
      </c>
      <c r="F2" s="1">
        <v>0.61599999999999999</v>
      </c>
      <c r="G2" s="1">
        <v>0.628</v>
      </c>
      <c r="H2" s="1">
        <v>0.63700000000000001</v>
      </c>
      <c r="I2" s="1">
        <v>0.63600000000000001</v>
      </c>
      <c r="J2" s="1">
        <v>0.64600000000000002</v>
      </c>
      <c r="K2" s="1">
        <v>0.65600000000000003</v>
      </c>
      <c r="L2" s="1">
        <v>0.66200000000000003</v>
      </c>
      <c r="M2" s="1">
        <v>0.67</v>
      </c>
      <c r="N2" s="1">
        <v>0.67400000000000004</v>
      </c>
      <c r="O2" s="1">
        <v>0.68100000000000005</v>
      </c>
      <c r="P2" s="1">
        <v>0.68500000000000005</v>
      </c>
      <c r="Q2" s="1">
        <v>0.69599999999999995</v>
      </c>
      <c r="R2" s="1">
        <v>0.70299999999999996</v>
      </c>
      <c r="S2" s="1">
        <v>0.71299999999999997</v>
      </c>
      <c r="T2" s="1">
        <v>0.72099999999999997</v>
      </c>
      <c r="U2" s="1">
        <v>0.72499999999999998</v>
      </c>
      <c r="V2" s="1">
        <v>0.73799999999999999</v>
      </c>
      <c r="W2" s="1">
        <v>0.752</v>
      </c>
      <c r="X2" s="1">
        <v>0.75900000000000001</v>
      </c>
      <c r="Y2" s="1">
        <v>0.76100000000000001</v>
      </c>
      <c r="Z2" s="1">
        <v>0.76200000000000001</v>
      </c>
      <c r="AA2" s="1">
        <v>0.76400000000000001</v>
      </c>
    </row>
    <row r="3" spans="1:27" x14ac:dyDescent="0.2">
      <c r="A3" s="1" t="s">
        <v>23</v>
      </c>
      <c r="B3" s="1">
        <v>0.63400000000000001</v>
      </c>
      <c r="C3" s="1">
        <v>0.628</v>
      </c>
      <c r="D3" s="1">
        <v>0.59499999999999997</v>
      </c>
      <c r="E3" s="1">
        <v>0.59299999999999997</v>
      </c>
      <c r="F3" s="1">
        <v>0.59699999999999998</v>
      </c>
      <c r="G3" s="1">
        <v>0.60299999999999998</v>
      </c>
      <c r="H3" s="1">
        <v>0.60899999999999999</v>
      </c>
      <c r="I3" s="1">
        <v>0.61799999999999999</v>
      </c>
      <c r="J3" s="1">
        <v>0.63200000000000001</v>
      </c>
      <c r="K3" s="1">
        <v>0.63900000000000001</v>
      </c>
      <c r="L3" s="1">
        <v>0.64400000000000002</v>
      </c>
      <c r="M3" s="1">
        <v>0.64500000000000002</v>
      </c>
      <c r="N3" s="1">
        <v>0.65700000000000003</v>
      </c>
      <c r="O3" s="1">
        <v>0.66800000000000004</v>
      </c>
      <c r="P3" s="1">
        <v>0.67900000000000005</v>
      </c>
      <c r="Q3" s="1">
        <v>0.69199999999999995</v>
      </c>
      <c r="R3" s="1">
        <v>0.70699999999999996</v>
      </c>
      <c r="S3" s="1">
        <v>0.72099999999999997</v>
      </c>
      <c r="T3" s="1">
        <v>0.72499999999999998</v>
      </c>
      <c r="U3" s="1">
        <v>0.72</v>
      </c>
      <c r="V3" s="1">
        <v>0.72899999999999998</v>
      </c>
      <c r="W3" s="1">
        <v>0.73199999999999998</v>
      </c>
      <c r="X3" s="1">
        <v>0.73599999999999999</v>
      </c>
      <c r="Y3" s="1">
        <v>0.73899999999999999</v>
      </c>
      <c r="Z3" s="1">
        <v>0.74099999999999999</v>
      </c>
      <c r="AA3" s="1">
        <v>0.74299999999999999</v>
      </c>
    </row>
    <row r="4" spans="1:27" x14ac:dyDescent="0.2">
      <c r="A4" s="1" t="s">
        <v>29</v>
      </c>
      <c r="G4" s="1">
        <v>0.60899999999999999</v>
      </c>
      <c r="H4" s="1">
        <v>0.61</v>
      </c>
      <c r="I4" s="1">
        <v>0.61499999999999999</v>
      </c>
      <c r="J4" s="1">
        <v>0.626</v>
      </c>
      <c r="K4" s="1">
        <v>0.63600000000000001</v>
      </c>
      <c r="L4" s="1">
        <v>0.64200000000000002</v>
      </c>
      <c r="M4" s="1">
        <v>0.65100000000000002</v>
      </c>
      <c r="N4" s="1">
        <v>0.65900000000000003</v>
      </c>
      <c r="O4" s="1">
        <v>0.66800000000000004</v>
      </c>
      <c r="P4" s="1">
        <v>0.67500000000000004</v>
      </c>
      <c r="Q4" s="1">
        <v>0.68200000000000005</v>
      </c>
      <c r="R4" s="1">
        <v>0.70799999999999996</v>
      </c>
      <c r="S4" s="1">
        <v>0.71899999999999997</v>
      </c>
      <c r="T4" s="1">
        <v>0.72799999999999998</v>
      </c>
      <c r="U4" s="1">
        <v>0.73699999999999999</v>
      </c>
      <c r="V4" s="1">
        <v>0.74099999999999999</v>
      </c>
      <c r="W4" s="1">
        <v>0.74199999999999999</v>
      </c>
      <c r="X4" s="1">
        <v>0.745</v>
      </c>
      <c r="Y4" s="1">
        <v>0.752</v>
      </c>
      <c r="Z4" s="1">
        <v>0.75800000000000001</v>
      </c>
      <c r="AA4" s="1">
        <v>0.75900000000000001</v>
      </c>
    </row>
    <row r="5" spans="1:27" x14ac:dyDescent="0.2">
      <c r="A5" s="1" t="s">
        <v>3</v>
      </c>
      <c r="G5" s="1">
        <v>0.65500000000000003</v>
      </c>
      <c r="H5" s="1">
        <v>0.65900000000000003</v>
      </c>
      <c r="I5" s="1">
        <v>0.66600000000000004</v>
      </c>
      <c r="J5" s="1">
        <v>0.67</v>
      </c>
      <c r="K5" s="1">
        <v>0.67500000000000004</v>
      </c>
      <c r="L5" s="1">
        <v>0.68100000000000005</v>
      </c>
      <c r="M5" s="1">
        <v>0.68700000000000006</v>
      </c>
      <c r="N5" s="1">
        <v>0.69499999999999995</v>
      </c>
      <c r="O5" s="1">
        <v>0.70299999999999996</v>
      </c>
      <c r="P5" s="1">
        <v>0.71299999999999997</v>
      </c>
      <c r="Q5" s="1">
        <v>0.72299999999999998</v>
      </c>
      <c r="R5" s="1">
        <v>0.73899999999999999</v>
      </c>
      <c r="S5" s="1">
        <v>0.755</v>
      </c>
      <c r="T5" s="1">
        <v>0.77100000000000002</v>
      </c>
      <c r="U5" s="1">
        <v>0.78</v>
      </c>
      <c r="V5" s="1">
        <v>0.78700000000000003</v>
      </c>
      <c r="W5" s="1">
        <v>0.79300000000000004</v>
      </c>
      <c r="X5" s="1">
        <v>0.79600000000000004</v>
      </c>
      <c r="Y5" s="1">
        <v>0.79600000000000004</v>
      </c>
      <c r="Z5" s="1">
        <v>0.79800000000000004</v>
      </c>
      <c r="AA5" s="1">
        <v>0.79600000000000004</v>
      </c>
    </row>
    <row r="6" spans="1:27" x14ac:dyDescent="0.2">
      <c r="A6" s="1" t="s">
        <v>36</v>
      </c>
      <c r="Q6" s="1">
        <v>0.69699999999999995</v>
      </c>
      <c r="R6" s="1">
        <v>0.70299999999999996</v>
      </c>
      <c r="S6" s="1">
        <v>0.71</v>
      </c>
      <c r="T6" s="1">
        <v>0.71599999999999997</v>
      </c>
      <c r="U6" s="1">
        <v>0.71699999999999997</v>
      </c>
      <c r="V6" s="1">
        <v>0.71099999999999997</v>
      </c>
      <c r="W6" s="1">
        <v>0.72799999999999998</v>
      </c>
      <c r="X6" s="1">
        <v>0.73499999999999999</v>
      </c>
      <c r="Y6" s="1">
        <v>0.74199999999999999</v>
      </c>
      <c r="Z6" s="1">
        <v>0.747</v>
      </c>
      <c r="AA6" s="1">
        <v>0.75</v>
      </c>
    </row>
    <row r="7" spans="1:27" x14ac:dyDescent="0.2">
      <c r="A7" s="1" t="s">
        <v>22</v>
      </c>
      <c r="B7" s="1">
        <v>0.7</v>
      </c>
      <c r="C7" s="1">
        <v>0.69599999999999995</v>
      </c>
      <c r="D7" s="1">
        <v>0.69599999999999995</v>
      </c>
      <c r="E7" s="1">
        <v>0.69599999999999995</v>
      </c>
      <c r="F7" s="1">
        <v>0.69699999999999995</v>
      </c>
      <c r="G7" s="1">
        <v>0.70199999999999996</v>
      </c>
      <c r="H7" s="1">
        <v>0.70199999999999996</v>
      </c>
      <c r="I7" s="1">
        <v>0.70399999999999996</v>
      </c>
      <c r="J7" s="1">
        <v>0.70899999999999996</v>
      </c>
      <c r="K7" s="1">
        <v>0.70899999999999996</v>
      </c>
      <c r="L7" s="1">
        <v>0.71299999999999997</v>
      </c>
      <c r="M7" s="1">
        <v>0.72299999999999998</v>
      </c>
      <c r="N7" s="1">
        <v>0.72899999999999998</v>
      </c>
      <c r="O7" s="1">
        <v>0.73799999999999999</v>
      </c>
      <c r="P7" s="1">
        <v>0.745</v>
      </c>
      <c r="Q7" s="1">
        <v>0.75</v>
      </c>
      <c r="R7" s="1">
        <v>0.755</v>
      </c>
      <c r="S7" s="1">
        <v>0.76100000000000001</v>
      </c>
      <c r="T7" s="1">
        <v>0.76800000000000002</v>
      </c>
      <c r="U7" s="1">
        <v>0.77</v>
      </c>
      <c r="V7" s="1">
        <v>0.77500000000000002</v>
      </c>
      <c r="W7" s="1">
        <v>0.77800000000000002</v>
      </c>
      <c r="X7" s="1">
        <v>0.78100000000000003</v>
      </c>
      <c r="Y7" s="1">
        <v>0.78700000000000003</v>
      </c>
      <c r="Z7" s="1">
        <v>0.79200000000000004</v>
      </c>
      <c r="AA7" s="1">
        <v>0.79400000000000004</v>
      </c>
    </row>
    <row r="8" spans="1:27" x14ac:dyDescent="0.2">
      <c r="A8" s="1" t="s">
        <v>12</v>
      </c>
      <c r="B8" s="1">
        <v>0.66900000000000004</v>
      </c>
      <c r="C8" s="1">
        <v>0.66400000000000003</v>
      </c>
      <c r="D8" s="1">
        <v>0.66300000000000003</v>
      </c>
      <c r="E8" s="1">
        <v>0.66600000000000004</v>
      </c>
      <c r="F8" s="1">
        <v>0.68</v>
      </c>
      <c r="G8" s="1">
        <v>0.69499999999999995</v>
      </c>
      <c r="H8" s="1">
        <v>0.70699999999999996</v>
      </c>
      <c r="I8" s="1">
        <v>0.71899999999999997</v>
      </c>
      <c r="J8" s="1">
        <v>0.73</v>
      </c>
      <c r="K8" s="1">
        <v>0.73899999999999999</v>
      </c>
      <c r="L8" s="1">
        <v>0.749</v>
      </c>
      <c r="M8" s="1">
        <v>0.75900000000000001</v>
      </c>
      <c r="N8" s="1">
        <v>0.76500000000000001</v>
      </c>
      <c r="O8" s="1">
        <v>0.77100000000000002</v>
      </c>
      <c r="P8" s="1">
        <v>0.77700000000000002</v>
      </c>
      <c r="Q8" s="1">
        <v>0.78300000000000003</v>
      </c>
      <c r="R8" s="1">
        <v>0.79300000000000004</v>
      </c>
      <c r="S8" s="1">
        <v>0.8</v>
      </c>
      <c r="T8" s="1">
        <v>0.80300000000000005</v>
      </c>
      <c r="U8" s="1">
        <v>0.80300000000000005</v>
      </c>
      <c r="V8" s="1">
        <v>0.80800000000000005</v>
      </c>
      <c r="W8" s="1">
        <v>0.81499999999999995</v>
      </c>
      <c r="X8" s="1">
        <v>0.81699999999999995</v>
      </c>
      <c r="Y8" s="1">
        <v>0.82</v>
      </c>
      <c r="Z8" s="1">
        <v>0.82299999999999995</v>
      </c>
      <c r="AA8" s="1">
        <v>0.82699999999999996</v>
      </c>
    </row>
    <row r="9" spans="1:27" x14ac:dyDescent="0.2">
      <c r="A9" s="1" t="s">
        <v>37</v>
      </c>
      <c r="B9" s="1">
        <v>0.76100000000000001</v>
      </c>
      <c r="C9" s="1">
        <v>0.75900000000000001</v>
      </c>
      <c r="D9" s="1">
        <v>0.76100000000000001</v>
      </c>
      <c r="E9" s="1">
        <v>0.76700000000000002</v>
      </c>
      <c r="F9" s="1">
        <v>0.77600000000000002</v>
      </c>
      <c r="G9" s="1">
        <v>0.78500000000000003</v>
      </c>
      <c r="H9" s="1">
        <v>0.79700000000000004</v>
      </c>
      <c r="I9" s="1">
        <v>0.80200000000000005</v>
      </c>
      <c r="J9" s="1">
        <v>0.80200000000000005</v>
      </c>
      <c r="K9" s="1">
        <v>0.81100000000000005</v>
      </c>
      <c r="L9" s="1">
        <v>0.82099999999999995</v>
      </c>
      <c r="M9" s="1">
        <v>0.82799999999999996</v>
      </c>
      <c r="N9" s="1">
        <v>0.83299999999999996</v>
      </c>
      <c r="O9" s="1">
        <v>0.83899999999999997</v>
      </c>
      <c r="P9" s="1">
        <v>0.84</v>
      </c>
      <c r="Q9" s="1">
        <v>0.84699999999999998</v>
      </c>
      <c r="R9" s="1">
        <v>0.85099999999999998</v>
      </c>
      <c r="S9" s="1">
        <v>0.85599999999999998</v>
      </c>
      <c r="T9" s="1">
        <v>0.85799999999999998</v>
      </c>
      <c r="U9" s="1">
        <v>0.85899999999999999</v>
      </c>
      <c r="V9" s="1">
        <v>0.86099999999999999</v>
      </c>
      <c r="W9" s="1">
        <v>0.86399999999999999</v>
      </c>
      <c r="X9" s="1">
        <v>0.86499999999999999</v>
      </c>
      <c r="Y9" s="1">
        <v>0.871</v>
      </c>
      <c r="Z9" s="1">
        <v>0.875</v>
      </c>
      <c r="AA9" s="1">
        <v>0.878</v>
      </c>
    </row>
    <row r="10" spans="1:27" x14ac:dyDescent="0.2">
      <c r="A10" s="1" t="s">
        <v>13</v>
      </c>
      <c r="B10" s="1">
        <v>0.72799999999999998</v>
      </c>
      <c r="C10" s="1">
        <v>0.72299999999999998</v>
      </c>
      <c r="D10" s="1">
        <v>0.71499999999999997</v>
      </c>
      <c r="E10" s="1">
        <v>0.70799999999999996</v>
      </c>
      <c r="F10" s="1">
        <v>0.71199999999999997</v>
      </c>
      <c r="G10" s="1">
        <v>0.72199999999999998</v>
      </c>
      <c r="H10" s="1">
        <v>0.73299999999999998</v>
      </c>
      <c r="I10" s="1">
        <v>0.746</v>
      </c>
      <c r="J10" s="1">
        <v>0.75800000000000001</v>
      </c>
      <c r="K10" s="1">
        <v>0.76400000000000001</v>
      </c>
      <c r="L10" s="1">
        <v>0.78100000000000003</v>
      </c>
      <c r="M10" s="1">
        <v>0.79100000000000004</v>
      </c>
      <c r="N10" s="1">
        <v>0.79800000000000004</v>
      </c>
      <c r="O10" s="1">
        <v>0.80500000000000005</v>
      </c>
      <c r="P10" s="1">
        <v>0.81200000000000006</v>
      </c>
      <c r="Q10" s="1">
        <v>0.82199999999999995</v>
      </c>
      <c r="R10" s="1">
        <v>0.82899999999999996</v>
      </c>
      <c r="S10" s="1">
        <v>0.83499999999999996</v>
      </c>
      <c r="T10" s="1">
        <v>0.83599999999999997</v>
      </c>
      <c r="U10" s="1">
        <v>0.83299999999999996</v>
      </c>
      <c r="V10" s="1">
        <v>0.83799999999999997</v>
      </c>
      <c r="W10" s="1">
        <v>0.85</v>
      </c>
      <c r="X10" s="1">
        <v>0.85599999999999998</v>
      </c>
      <c r="Y10" s="1">
        <v>0.86</v>
      </c>
      <c r="Z10" s="1">
        <v>0.86299999999999999</v>
      </c>
      <c r="AA10" s="1">
        <v>0.86499999999999999</v>
      </c>
    </row>
    <row r="11" spans="1:27" x14ac:dyDescent="0.2">
      <c r="A11" s="1" t="s">
        <v>26</v>
      </c>
      <c r="L11" s="1">
        <v>0.67300000000000004</v>
      </c>
      <c r="M11" s="1">
        <v>0.67700000000000005</v>
      </c>
      <c r="N11" s="1">
        <v>0.68400000000000005</v>
      </c>
      <c r="O11" s="1">
        <v>0.69399999999999995</v>
      </c>
      <c r="P11" s="1">
        <v>0.70299999999999996</v>
      </c>
      <c r="Q11" s="1">
        <v>0.71399999999999997</v>
      </c>
      <c r="R11" s="1">
        <v>0.72199999999999998</v>
      </c>
      <c r="S11" s="1">
        <v>0.73499999999999999</v>
      </c>
      <c r="T11" s="1">
        <v>0.73399999999999999</v>
      </c>
      <c r="U11" s="1">
        <v>0.73799999999999999</v>
      </c>
      <c r="V11" s="1">
        <v>0.74199999999999999</v>
      </c>
      <c r="W11" s="1">
        <v>0.749</v>
      </c>
      <c r="X11" s="1">
        <v>0.755</v>
      </c>
      <c r="Y11" s="1">
        <v>0.75900000000000001</v>
      </c>
      <c r="Z11" s="1">
        <v>0.76800000000000002</v>
      </c>
      <c r="AA11" s="1">
        <v>0.76900000000000002</v>
      </c>
    </row>
    <row r="12" spans="1:27" x14ac:dyDescent="0.2">
      <c r="A12" s="1" t="s">
        <v>9</v>
      </c>
      <c r="B12" s="1">
        <v>0.70299999999999996</v>
      </c>
      <c r="C12" s="1">
        <v>0.70099999999999996</v>
      </c>
      <c r="D12" s="1">
        <v>0.70599999999999996</v>
      </c>
      <c r="E12" s="1">
        <v>0.71899999999999997</v>
      </c>
      <c r="F12" s="1">
        <v>0.73299999999999998</v>
      </c>
      <c r="G12" s="1">
        <v>0.74099999999999999</v>
      </c>
      <c r="H12" s="1">
        <v>0.745</v>
      </c>
      <c r="I12" s="1">
        <v>0.747</v>
      </c>
      <c r="J12" s="1">
        <v>0.754</v>
      </c>
      <c r="K12" s="1">
        <v>0.76100000000000001</v>
      </c>
      <c r="L12" s="1">
        <v>0.76900000000000002</v>
      </c>
      <c r="M12" s="1">
        <v>0.77500000000000002</v>
      </c>
      <c r="N12" s="1">
        <v>0.78400000000000003</v>
      </c>
      <c r="O12" s="1">
        <v>0.79300000000000004</v>
      </c>
      <c r="P12" s="1">
        <v>0.79500000000000004</v>
      </c>
      <c r="Q12" s="1">
        <v>0.80200000000000005</v>
      </c>
      <c r="R12" s="1">
        <v>0.80900000000000005</v>
      </c>
      <c r="S12" s="1">
        <v>0.81200000000000006</v>
      </c>
      <c r="T12" s="1">
        <v>0.81599999999999995</v>
      </c>
      <c r="U12" s="1">
        <v>0.81699999999999995</v>
      </c>
      <c r="V12" s="1">
        <v>0.82099999999999995</v>
      </c>
      <c r="W12" s="1">
        <v>0.82299999999999995</v>
      </c>
      <c r="X12" s="1">
        <v>0.82399999999999995</v>
      </c>
      <c r="Y12" s="1">
        <v>0.83399999999999996</v>
      </c>
      <c r="Z12" s="1">
        <v>0.83399999999999996</v>
      </c>
      <c r="AA12" s="1">
        <v>0.83599999999999997</v>
      </c>
    </row>
    <row r="13" spans="1:27" x14ac:dyDescent="0.2">
      <c r="A13" s="1" t="s">
        <v>7</v>
      </c>
      <c r="B13" s="1">
        <v>0.69</v>
      </c>
      <c r="C13" s="1">
        <v>0.68400000000000005</v>
      </c>
      <c r="D13" s="1">
        <v>0.68200000000000005</v>
      </c>
      <c r="E13" s="1">
        <v>0.67600000000000005</v>
      </c>
      <c r="F13" s="1">
        <v>0.66800000000000004</v>
      </c>
      <c r="G13" s="1">
        <v>0.66500000000000004</v>
      </c>
      <c r="H13" s="1">
        <v>0.66600000000000004</v>
      </c>
      <c r="I13" s="1">
        <v>0.67</v>
      </c>
      <c r="J13" s="1">
        <v>0.67200000000000004</v>
      </c>
      <c r="K13" s="1">
        <v>0.67600000000000005</v>
      </c>
      <c r="L13" s="1">
        <v>0.68500000000000005</v>
      </c>
      <c r="M13" s="1">
        <v>0.7</v>
      </c>
      <c r="N13" s="1">
        <v>0.71399999999999997</v>
      </c>
      <c r="O13" s="1">
        <v>0.72499999999999998</v>
      </c>
      <c r="P13" s="1">
        <v>0.73699999999999999</v>
      </c>
      <c r="Q13" s="1">
        <v>0.747</v>
      </c>
      <c r="R13" s="1">
        <v>0.754</v>
      </c>
      <c r="S13" s="1">
        <v>0.75800000000000001</v>
      </c>
      <c r="T13" s="1">
        <v>0.75800000000000001</v>
      </c>
      <c r="U13" s="1">
        <v>0.76300000000000001</v>
      </c>
      <c r="V13" s="1">
        <v>0.76600000000000001</v>
      </c>
      <c r="W13" s="1">
        <v>0.77400000000000002</v>
      </c>
      <c r="X13" s="1">
        <v>0.78200000000000003</v>
      </c>
      <c r="Y13" s="1">
        <v>0.78900000000000003</v>
      </c>
      <c r="Z13" s="1">
        <v>0.79300000000000004</v>
      </c>
      <c r="AA13" s="1">
        <v>0.79400000000000004</v>
      </c>
    </row>
    <row r="14" spans="1:27" x14ac:dyDescent="0.2">
      <c r="A14" s="1" t="s">
        <v>14</v>
      </c>
      <c r="B14" s="1">
        <v>0.61499999999999999</v>
      </c>
      <c r="C14" s="1">
        <v>0.60899999999999999</v>
      </c>
      <c r="D14" s="1">
        <v>0.59899999999999998</v>
      </c>
      <c r="E14" s="1">
        <v>0.58599999999999997</v>
      </c>
      <c r="F14" s="1">
        <v>0.56799999999999995</v>
      </c>
      <c r="G14" s="1">
        <v>0.56200000000000006</v>
      </c>
      <c r="H14" s="1">
        <v>0.56699999999999995</v>
      </c>
      <c r="I14" s="1">
        <v>0.57599999999999996</v>
      </c>
      <c r="J14" s="1">
        <v>0.57999999999999996</v>
      </c>
      <c r="K14" s="1">
        <v>0.58599999999999997</v>
      </c>
      <c r="L14" s="1">
        <v>0.59299999999999997</v>
      </c>
      <c r="M14" s="1">
        <v>0.60099999999999998</v>
      </c>
      <c r="N14" s="1">
        <v>0.60199999999999998</v>
      </c>
      <c r="O14" s="1">
        <v>0.60899999999999999</v>
      </c>
      <c r="P14" s="1">
        <v>0.61199999999999999</v>
      </c>
      <c r="Q14" s="1">
        <v>0.61299999999999999</v>
      </c>
      <c r="R14" s="1">
        <v>0.61799999999999999</v>
      </c>
      <c r="S14" s="1">
        <v>0.624</v>
      </c>
      <c r="T14" s="1">
        <v>0.629</v>
      </c>
      <c r="U14" s="1">
        <v>0.63100000000000001</v>
      </c>
      <c r="V14" s="1">
        <v>0.63200000000000001</v>
      </c>
      <c r="W14" s="1">
        <v>0.63800000000000001</v>
      </c>
      <c r="X14" s="1">
        <v>0.64700000000000002</v>
      </c>
      <c r="Y14" s="1">
        <v>0.65600000000000003</v>
      </c>
      <c r="Z14" s="1">
        <v>0.66200000000000003</v>
      </c>
      <c r="AA14" s="1">
        <v>0.66400000000000003</v>
      </c>
    </row>
    <row r="15" spans="1:27" x14ac:dyDescent="0.2">
      <c r="A15" s="1" t="s">
        <v>20</v>
      </c>
      <c r="B15" s="1">
        <v>0.70299999999999996</v>
      </c>
      <c r="C15" s="1">
        <v>0.69899999999999995</v>
      </c>
      <c r="D15" s="1">
        <v>0.67800000000000005</v>
      </c>
      <c r="E15" s="1">
        <v>0.66800000000000004</v>
      </c>
      <c r="F15" s="1">
        <v>0.66800000000000004</v>
      </c>
      <c r="G15" s="1">
        <v>0.67400000000000004</v>
      </c>
      <c r="H15" s="1">
        <v>0.68</v>
      </c>
      <c r="I15" s="1">
        <v>0.69299999999999995</v>
      </c>
      <c r="J15" s="1">
        <v>0.70499999999999996</v>
      </c>
      <c r="K15" s="1">
        <v>0.71599999999999997</v>
      </c>
      <c r="L15" s="1">
        <v>0.72799999999999998</v>
      </c>
      <c r="M15" s="1">
        <v>0.746</v>
      </c>
      <c r="N15" s="1">
        <v>0.76100000000000001</v>
      </c>
      <c r="O15" s="1">
        <v>0.77600000000000002</v>
      </c>
      <c r="P15" s="1">
        <v>0.79100000000000004</v>
      </c>
      <c r="Q15" s="1">
        <v>0.80700000000000005</v>
      </c>
      <c r="R15" s="1">
        <v>0.81399999999999995</v>
      </c>
      <c r="S15" s="1">
        <v>0.81899999999999995</v>
      </c>
      <c r="T15" s="1">
        <v>0.82099999999999995</v>
      </c>
      <c r="U15" s="1">
        <v>0.81499999999999995</v>
      </c>
      <c r="V15" s="1">
        <v>0.81</v>
      </c>
      <c r="W15" s="1">
        <v>0.81200000000000006</v>
      </c>
      <c r="X15" s="1">
        <v>0.81399999999999995</v>
      </c>
      <c r="Y15" s="1">
        <v>0.82199999999999995</v>
      </c>
      <c r="Z15" s="1">
        <v>0.82799999999999996</v>
      </c>
      <c r="AA15" s="1">
        <v>0.83</v>
      </c>
    </row>
    <row r="16" spans="1:27" x14ac:dyDescent="0.2">
      <c r="A16" s="1" t="s">
        <v>21</v>
      </c>
      <c r="B16" s="1">
        <v>0.73099999999999998</v>
      </c>
      <c r="C16" s="1">
        <v>0.72699999999999998</v>
      </c>
      <c r="D16" s="1">
        <v>0.71099999999999997</v>
      </c>
      <c r="E16" s="1">
        <v>0.7</v>
      </c>
      <c r="F16" s="1">
        <v>0.69599999999999995</v>
      </c>
      <c r="G16" s="1">
        <v>0.70199999999999996</v>
      </c>
      <c r="H16" s="1">
        <v>0.71099999999999997</v>
      </c>
      <c r="I16" s="1">
        <v>0.72399999999999998</v>
      </c>
      <c r="J16" s="1">
        <v>0.73599999999999999</v>
      </c>
      <c r="K16" s="1">
        <v>0.745</v>
      </c>
      <c r="L16" s="1">
        <v>0.75700000000000001</v>
      </c>
      <c r="M16" s="1">
        <v>0.77</v>
      </c>
      <c r="N16" s="1">
        <v>0.78</v>
      </c>
      <c r="O16" s="1">
        <v>0.79200000000000004</v>
      </c>
      <c r="P16" s="1">
        <v>0.79800000000000004</v>
      </c>
      <c r="Q16" s="1">
        <v>0.80700000000000005</v>
      </c>
      <c r="R16" s="1">
        <v>0.81200000000000006</v>
      </c>
      <c r="S16" s="1">
        <v>0.82</v>
      </c>
      <c r="T16" s="1">
        <v>0.82499999999999996</v>
      </c>
      <c r="U16" s="1">
        <v>0.82399999999999995</v>
      </c>
      <c r="V16" s="1">
        <v>0.82599999999999996</v>
      </c>
      <c r="W16" s="1">
        <v>0.83</v>
      </c>
      <c r="X16" s="1">
        <v>0.83399999999999996</v>
      </c>
      <c r="Y16" s="1">
        <v>0.84099999999999997</v>
      </c>
      <c r="Z16" s="1">
        <v>0.84599999999999997</v>
      </c>
      <c r="AA16" s="1">
        <v>0.84799999999999998</v>
      </c>
    </row>
    <row r="17" spans="1:27" x14ac:dyDescent="0.2">
      <c r="A17" s="1" t="s">
        <v>16</v>
      </c>
      <c r="B17" s="1">
        <v>0.65200000000000002</v>
      </c>
      <c r="C17" s="1">
        <v>0.64100000000000001</v>
      </c>
      <c r="D17" s="1">
        <v>0.621</v>
      </c>
      <c r="E17" s="1">
        <v>0.61899999999999999</v>
      </c>
      <c r="F17" s="1">
        <v>0.59599999999999997</v>
      </c>
      <c r="G17" s="1">
        <v>0.59399999999999997</v>
      </c>
      <c r="H17" s="1">
        <v>0.59099999999999997</v>
      </c>
      <c r="I17" s="1">
        <v>0.59299999999999997</v>
      </c>
      <c r="J17" s="1">
        <v>0.59299999999999997</v>
      </c>
      <c r="K17" s="1">
        <v>0.59499999999999997</v>
      </c>
      <c r="L17" s="1">
        <v>0.59699999999999998</v>
      </c>
      <c r="M17" s="1">
        <v>0.60699999999999998</v>
      </c>
      <c r="N17" s="1">
        <v>0.61699999999999999</v>
      </c>
      <c r="O17" s="1">
        <v>0.63</v>
      </c>
      <c r="P17" s="1">
        <v>0.64</v>
      </c>
      <c r="Q17" s="1">
        <v>0.64800000000000002</v>
      </c>
      <c r="R17" s="1">
        <v>0.65600000000000003</v>
      </c>
      <c r="S17" s="1">
        <v>0.66100000000000003</v>
      </c>
      <c r="T17" s="1">
        <v>0.66800000000000004</v>
      </c>
      <c r="U17" s="1">
        <v>0.66400000000000003</v>
      </c>
      <c r="V17" s="1">
        <v>0.67200000000000004</v>
      </c>
      <c r="W17" s="1">
        <v>0.67900000000000005</v>
      </c>
      <c r="X17" s="1">
        <v>0.68600000000000005</v>
      </c>
      <c r="Y17" s="1">
        <v>0.69599999999999995</v>
      </c>
      <c r="Z17" s="1">
        <v>0.70099999999999996</v>
      </c>
      <c r="AA17" s="1">
        <v>0.69899999999999995</v>
      </c>
    </row>
    <row r="18" spans="1:27" x14ac:dyDescent="0.2">
      <c r="A18" s="1" t="s">
        <v>24</v>
      </c>
      <c r="O18" s="1">
        <v>0.74</v>
      </c>
      <c r="P18" s="1">
        <v>0.746</v>
      </c>
      <c r="Q18" s="1">
        <v>0.751</v>
      </c>
      <c r="R18" s="1">
        <v>0.76200000000000001</v>
      </c>
      <c r="S18" s="1">
        <v>0.77400000000000002</v>
      </c>
      <c r="T18" s="1">
        <v>0.78500000000000003</v>
      </c>
      <c r="U18" s="1">
        <v>0.78700000000000003</v>
      </c>
      <c r="V18" s="1">
        <v>0.79200000000000004</v>
      </c>
      <c r="W18" s="1">
        <v>0.79700000000000004</v>
      </c>
      <c r="X18" s="1">
        <v>0.79900000000000004</v>
      </c>
      <c r="Y18" s="1">
        <v>0.80300000000000005</v>
      </c>
      <c r="Z18" s="1">
        <v>0.80400000000000005</v>
      </c>
      <c r="AA18" s="1">
        <v>0.80700000000000005</v>
      </c>
    </row>
    <row r="19" spans="1:27" x14ac:dyDescent="0.2">
      <c r="A19" s="1" t="s">
        <v>11</v>
      </c>
      <c r="B19" s="1">
        <v>0.71199999999999997</v>
      </c>
      <c r="C19" s="1">
        <v>0.70899999999999996</v>
      </c>
      <c r="D19" s="1">
        <v>0.71299999999999997</v>
      </c>
      <c r="E19" s="1">
        <v>0.72299999999999998</v>
      </c>
      <c r="F19" s="1">
        <v>0.73199999999999998</v>
      </c>
      <c r="G19" s="1">
        <v>0.73799999999999999</v>
      </c>
      <c r="H19" s="1">
        <v>0.746</v>
      </c>
      <c r="I19" s="1">
        <v>0.75900000000000001</v>
      </c>
      <c r="J19" s="1">
        <v>0.76800000000000002</v>
      </c>
      <c r="K19" s="1">
        <v>0.77700000000000002</v>
      </c>
      <c r="L19" s="1">
        <v>0.78400000000000003</v>
      </c>
      <c r="M19" s="1">
        <v>0.79</v>
      </c>
      <c r="N19" s="1">
        <v>0.79600000000000004</v>
      </c>
      <c r="O19" s="1">
        <v>0.8</v>
      </c>
      <c r="P19" s="1">
        <v>0.79700000000000004</v>
      </c>
      <c r="Q19" s="1">
        <v>0.80300000000000005</v>
      </c>
      <c r="R19" s="1">
        <v>0.80800000000000005</v>
      </c>
      <c r="S19" s="1">
        <v>0.81299999999999994</v>
      </c>
      <c r="T19" s="1">
        <v>0.81799999999999995</v>
      </c>
      <c r="U19" s="1">
        <v>0.82199999999999995</v>
      </c>
      <c r="V19" s="1">
        <v>0.82899999999999996</v>
      </c>
      <c r="W19" s="1">
        <v>0.83399999999999996</v>
      </c>
      <c r="X19" s="1">
        <v>0.83799999999999997</v>
      </c>
      <c r="Y19" s="1">
        <v>0.85</v>
      </c>
      <c r="Z19" s="1">
        <v>0.85199999999999998</v>
      </c>
      <c r="AA19" s="1">
        <v>0.85499999999999998</v>
      </c>
    </row>
    <row r="20" spans="1:27" x14ac:dyDescent="0.2">
      <c r="A20" s="1" t="s">
        <v>17</v>
      </c>
      <c r="B20" s="1">
        <v>0.7</v>
      </c>
      <c r="C20" s="1">
        <v>0.68500000000000005</v>
      </c>
      <c r="D20" s="1">
        <v>0.67700000000000005</v>
      </c>
      <c r="E20" s="1">
        <v>0.67700000000000005</v>
      </c>
      <c r="F20" s="1">
        <v>0.68</v>
      </c>
      <c r="G20" s="1">
        <v>0.68600000000000005</v>
      </c>
      <c r="H20" s="1">
        <v>0.69399999999999995</v>
      </c>
      <c r="I20" s="1">
        <v>0.69499999999999995</v>
      </c>
      <c r="J20" s="1">
        <v>0.69699999999999995</v>
      </c>
      <c r="K20" s="1">
        <v>0.70299999999999996</v>
      </c>
      <c r="L20" s="1">
        <v>0.70799999999999996</v>
      </c>
      <c r="M20" s="1">
        <v>0.71399999999999997</v>
      </c>
      <c r="N20" s="1">
        <v>0.72199999999999998</v>
      </c>
      <c r="O20" s="1">
        <v>0.73299999999999998</v>
      </c>
      <c r="P20" s="1">
        <v>0.745</v>
      </c>
      <c r="Q20" s="1">
        <v>0.755</v>
      </c>
      <c r="R20" s="1">
        <v>0.76600000000000001</v>
      </c>
      <c r="S20" s="1">
        <v>0.78</v>
      </c>
      <c r="T20" s="1">
        <v>0.79500000000000004</v>
      </c>
      <c r="U20" s="1">
        <v>0.79700000000000004</v>
      </c>
      <c r="V20" s="1">
        <v>0.79800000000000004</v>
      </c>
      <c r="W20" s="1">
        <v>0.79700000000000004</v>
      </c>
      <c r="X20" s="1">
        <v>0.79400000000000004</v>
      </c>
      <c r="Y20" s="1">
        <v>0.79700000000000004</v>
      </c>
      <c r="Z20" s="1">
        <v>0.79800000000000004</v>
      </c>
      <c r="AA20" s="1">
        <v>0.80200000000000005</v>
      </c>
    </row>
    <row r="21" spans="1:27" x14ac:dyDescent="0.2">
      <c r="A21" s="1" t="s">
        <v>38</v>
      </c>
      <c r="B21" s="1">
        <v>0.73299999999999998</v>
      </c>
      <c r="C21" s="1">
        <v>0.72899999999999998</v>
      </c>
      <c r="D21" s="1">
        <v>0.71799999999999997</v>
      </c>
      <c r="E21" s="1">
        <v>0.71</v>
      </c>
      <c r="F21" s="1">
        <v>0.70099999999999996</v>
      </c>
      <c r="G21" s="1">
        <v>0.7</v>
      </c>
      <c r="H21" s="1">
        <v>0.70099999999999996</v>
      </c>
      <c r="I21" s="1">
        <v>0.70399999999999996</v>
      </c>
      <c r="J21" s="1">
        <v>0.70299999999999996</v>
      </c>
      <c r="K21" s="1">
        <v>0.70899999999999996</v>
      </c>
      <c r="L21" s="1">
        <v>0.72</v>
      </c>
      <c r="M21" s="1">
        <v>0.72699999999999998</v>
      </c>
      <c r="N21" s="1">
        <v>0.73299999999999998</v>
      </c>
      <c r="O21" s="1">
        <v>0.74099999999999999</v>
      </c>
      <c r="P21" s="1">
        <v>0.748</v>
      </c>
      <c r="Q21" s="1">
        <v>0.754</v>
      </c>
      <c r="R21" s="1">
        <v>0.76100000000000001</v>
      </c>
      <c r="S21" s="1">
        <v>0.76900000000000002</v>
      </c>
      <c r="T21" s="1">
        <v>0.77600000000000002</v>
      </c>
      <c r="U21" s="1">
        <v>0.77300000000000002</v>
      </c>
      <c r="V21" s="1">
        <v>0.78500000000000003</v>
      </c>
      <c r="W21" s="1">
        <v>0.79200000000000004</v>
      </c>
      <c r="X21" s="1">
        <v>0.79900000000000004</v>
      </c>
      <c r="Y21" s="1">
        <v>0.80300000000000005</v>
      </c>
      <c r="Z21" s="1">
        <v>0.80500000000000005</v>
      </c>
      <c r="AA21" s="1">
        <v>0.80400000000000005</v>
      </c>
    </row>
    <row r="22" spans="1:27" x14ac:dyDescent="0.2">
      <c r="A22" s="1" t="s">
        <v>19</v>
      </c>
      <c r="B22" s="1">
        <v>0.71399999999999997</v>
      </c>
      <c r="C22" s="1">
        <v>0.71299999999999997</v>
      </c>
      <c r="D22" s="1">
        <v>0.7</v>
      </c>
      <c r="E22" s="1">
        <v>0.68400000000000005</v>
      </c>
      <c r="F22" s="1">
        <v>0.68799999999999994</v>
      </c>
      <c r="G22" s="1">
        <v>0.69399999999999995</v>
      </c>
      <c r="H22" s="1">
        <v>0.69699999999999995</v>
      </c>
      <c r="I22" s="1">
        <v>0.70299999999999996</v>
      </c>
      <c r="J22" s="1">
        <v>0.70699999999999996</v>
      </c>
      <c r="K22" s="1">
        <v>0.70199999999999996</v>
      </c>
      <c r="L22" s="1">
        <v>0.70899999999999996</v>
      </c>
      <c r="M22" s="1">
        <v>0.71499999999999997</v>
      </c>
      <c r="N22" s="1">
        <v>0.71499999999999997</v>
      </c>
      <c r="O22" s="1">
        <v>0.72</v>
      </c>
      <c r="P22" s="1">
        <v>0.73</v>
      </c>
      <c r="Q22" s="1">
        <v>0.73899999999999999</v>
      </c>
      <c r="R22" s="1">
        <v>0.74299999999999999</v>
      </c>
      <c r="S22" s="1">
        <v>0.749</v>
      </c>
      <c r="T22" s="1">
        <v>0.754</v>
      </c>
      <c r="U22" s="1">
        <v>0.755</v>
      </c>
      <c r="V22" s="1">
        <v>0.75700000000000001</v>
      </c>
      <c r="W22" s="1">
        <v>0.76700000000000002</v>
      </c>
      <c r="X22" s="1">
        <v>0.76600000000000001</v>
      </c>
      <c r="Y22" s="1">
        <v>0.77100000000000002</v>
      </c>
      <c r="Z22" s="1">
        <v>0.77500000000000002</v>
      </c>
      <c r="AA22" s="1">
        <v>0.77600000000000002</v>
      </c>
    </row>
    <row r="23" spans="1:27" x14ac:dyDescent="0.2">
      <c r="A23" s="1" t="s">
        <v>4</v>
      </c>
      <c r="B23" s="1">
        <v>0.73799999999999999</v>
      </c>
      <c r="C23" s="1">
        <v>0.73299999999999998</v>
      </c>
      <c r="D23" s="1">
        <v>0.73199999999999998</v>
      </c>
      <c r="E23" s="1">
        <v>0.73599999999999999</v>
      </c>
      <c r="F23" s="1">
        <v>0.74199999999999999</v>
      </c>
      <c r="G23" s="1">
        <v>0.75</v>
      </c>
      <c r="H23" s="1">
        <v>0.754</v>
      </c>
      <c r="I23" s="1">
        <v>0.75600000000000001</v>
      </c>
      <c r="J23" s="1">
        <v>0.76200000000000001</v>
      </c>
      <c r="K23" s="1">
        <v>0.76100000000000001</v>
      </c>
      <c r="L23" s="1">
        <v>0.76300000000000001</v>
      </c>
      <c r="M23" s="1">
        <v>0.76300000000000001</v>
      </c>
      <c r="N23" s="1">
        <v>0.77100000000000002</v>
      </c>
      <c r="O23" s="1">
        <v>0.77600000000000002</v>
      </c>
      <c r="P23" s="1">
        <v>0.78400000000000003</v>
      </c>
      <c r="Q23" s="1">
        <v>0.79300000000000004</v>
      </c>
      <c r="R23" s="1">
        <v>0.80200000000000005</v>
      </c>
      <c r="S23" s="1">
        <v>0.81299999999999994</v>
      </c>
      <c r="T23" s="1">
        <v>0.82</v>
      </c>
      <c r="U23" s="1">
        <v>0.82199999999999995</v>
      </c>
      <c r="V23" s="1">
        <v>0.82899999999999996</v>
      </c>
      <c r="W23" s="1">
        <v>0.83499999999999996</v>
      </c>
      <c r="X23" s="1">
        <v>0.83799999999999997</v>
      </c>
      <c r="Y23" s="1">
        <v>0.84099999999999997</v>
      </c>
      <c r="Z23" s="1">
        <v>0.84199999999999997</v>
      </c>
      <c r="AA23" s="1">
        <v>0.84499999999999997</v>
      </c>
    </row>
    <row r="24" spans="1:27" x14ac:dyDescent="0.2">
      <c r="A24" s="1" t="s">
        <v>6</v>
      </c>
      <c r="B24" s="1">
        <v>0.76700000000000002</v>
      </c>
      <c r="C24" s="1">
        <v>0.76400000000000001</v>
      </c>
      <c r="D24" s="1">
        <v>0.76600000000000001</v>
      </c>
      <c r="E24" s="1">
        <v>0.76800000000000002</v>
      </c>
      <c r="F24" s="1">
        <v>0.77500000000000002</v>
      </c>
      <c r="G24" s="1">
        <v>0.78200000000000003</v>
      </c>
      <c r="H24" s="1">
        <v>0.78800000000000003</v>
      </c>
      <c r="I24" s="1">
        <v>0.79600000000000004</v>
      </c>
      <c r="J24" s="1">
        <v>0.80500000000000005</v>
      </c>
      <c r="K24" s="1">
        <v>0.81799999999999995</v>
      </c>
      <c r="L24" s="1">
        <v>0.82399999999999995</v>
      </c>
      <c r="M24" s="1">
        <v>0.83499999999999996</v>
      </c>
      <c r="N24" s="1">
        <v>0.84299999999999997</v>
      </c>
      <c r="O24" s="1">
        <v>0.85</v>
      </c>
      <c r="P24" s="1">
        <v>0.85299999999999998</v>
      </c>
      <c r="Q24" s="1">
        <v>0.85799999999999998</v>
      </c>
      <c r="R24" s="1">
        <v>0.86499999999999999</v>
      </c>
      <c r="S24" s="1">
        <v>0.86899999999999999</v>
      </c>
      <c r="T24" s="1">
        <v>0.873</v>
      </c>
      <c r="U24" s="1">
        <v>0.872</v>
      </c>
      <c r="V24" s="1">
        <v>0.876</v>
      </c>
      <c r="W24" s="1">
        <v>0.877</v>
      </c>
      <c r="X24" s="1">
        <v>0.878</v>
      </c>
      <c r="Y24" s="1">
        <v>0.88800000000000001</v>
      </c>
      <c r="Z24" s="1">
        <v>0.88800000000000001</v>
      </c>
      <c r="AA24" s="1">
        <v>0.89</v>
      </c>
    </row>
    <row r="25" spans="1:27" x14ac:dyDescent="0.2">
      <c r="A25" s="1" t="s">
        <v>28</v>
      </c>
      <c r="B25" s="1">
        <v>0.61599999999999999</v>
      </c>
      <c r="C25" s="1">
        <v>0.61099999999999999</v>
      </c>
      <c r="D25" s="1">
        <v>0.58899999999999997</v>
      </c>
      <c r="E25" s="1">
        <v>0.57099999999999995</v>
      </c>
      <c r="F25" s="1">
        <v>0.54900000000000004</v>
      </c>
      <c r="G25" s="1">
        <v>0.53900000000000003</v>
      </c>
      <c r="H25" s="1">
        <v>0.52200000000000002</v>
      </c>
      <c r="I25" s="1">
        <v>0.52600000000000002</v>
      </c>
      <c r="J25" s="1">
        <v>0.52800000000000002</v>
      </c>
      <c r="K25" s="1">
        <v>0.52900000000000003</v>
      </c>
      <c r="L25" s="1">
        <v>0.53500000000000003</v>
      </c>
      <c r="M25" s="1">
        <v>0.54300000000000004</v>
      </c>
      <c r="N25" s="1">
        <v>0.55300000000000005</v>
      </c>
      <c r="O25" s="1">
        <v>0.56299999999999994</v>
      </c>
      <c r="P25" s="1">
        <v>0.57199999999999995</v>
      </c>
      <c r="Q25" s="1">
        <v>0.57899999999999996</v>
      </c>
      <c r="R25" s="1">
        <v>0.58599999999999997</v>
      </c>
      <c r="S25" s="1">
        <v>0.59199999999999997</v>
      </c>
      <c r="T25" s="1">
        <v>0.60099999999999998</v>
      </c>
      <c r="U25" s="1">
        <v>0.60299999999999998</v>
      </c>
      <c r="V25" s="1">
        <v>0.60799999999999998</v>
      </c>
      <c r="W25" s="1">
        <v>0.61299999999999999</v>
      </c>
      <c r="X25" s="1">
        <v>0.61699999999999999</v>
      </c>
      <c r="Y25" s="1">
        <v>0.622</v>
      </c>
      <c r="Z25" s="1">
        <v>0.625</v>
      </c>
      <c r="AA25" s="1">
        <v>0.627</v>
      </c>
    </row>
    <row r="26" spans="1:27" x14ac:dyDescent="0.2">
      <c r="A26" s="1" t="s">
        <v>32</v>
      </c>
      <c r="V26" s="1">
        <v>0.66500000000000004</v>
      </c>
      <c r="W26" s="1">
        <v>0.67200000000000004</v>
      </c>
      <c r="X26" s="1">
        <v>0.67800000000000005</v>
      </c>
      <c r="Y26" s="1">
        <v>0.68300000000000005</v>
      </c>
      <c r="Z26" s="1">
        <v>0.68799999999999994</v>
      </c>
      <c r="AA26" s="1">
        <v>0.69199999999999995</v>
      </c>
    </row>
    <row r="27" spans="1:27" x14ac:dyDescent="0.2">
      <c r="A27" s="1" t="s">
        <v>8</v>
      </c>
      <c r="B27" s="1">
        <v>0.70599999999999996</v>
      </c>
      <c r="C27" s="1">
        <v>0.70099999999999996</v>
      </c>
      <c r="D27" s="1">
        <v>0.69299999999999995</v>
      </c>
      <c r="E27" s="1">
        <v>0.68200000000000005</v>
      </c>
      <c r="F27" s="1">
        <v>0.66800000000000004</v>
      </c>
      <c r="G27" s="1">
        <v>0.66400000000000003</v>
      </c>
      <c r="H27" s="1">
        <v>0.66100000000000003</v>
      </c>
      <c r="I27" s="1">
        <v>0.66300000000000003</v>
      </c>
      <c r="J27" s="1">
        <v>0.66500000000000004</v>
      </c>
      <c r="K27" s="1">
        <v>0.66900000000000004</v>
      </c>
      <c r="L27" s="1">
        <v>0.67300000000000004</v>
      </c>
      <c r="M27" s="1">
        <v>0.68300000000000005</v>
      </c>
      <c r="N27" s="1">
        <v>0.69099999999999995</v>
      </c>
      <c r="O27" s="1">
        <v>0.7</v>
      </c>
      <c r="P27" s="1">
        <v>0.70699999999999996</v>
      </c>
      <c r="Q27" s="1">
        <v>0.71599999999999997</v>
      </c>
      <c r="R27" s="1">
        <v>0.72299999999999998</v>
      </c>
      <c r="S27" s="1">
        <v>0.73</v>
      </c>
      <c r="T27" s="1">
        <v>0.73399999999999999</v>
      </c>
      <c r="U27" s="1">
        <v>0.72799999999999998</v>
      </c>
      <c r="V27" s="1">
        <v>0.73399999999999999</v>
      </c>
      <c r="W27" s="1">
        <v>0.73899999999999999</v>
      </c>
      <c r="X27" s="1">
        <v>0.74399999999999999</v>
      </c>
      <c r="Y27" s="1">
        <v>0.746</v>
      </c>
      <c r="Z27" s="1">
        <v>0.748</v>
      </c>
      <c r="AA27" s="1">
        <v>0.74299999999999999</v>
      </c>
    </row>
    <row r="28" spans="1:27" x14ac:dyDescent="0.2">
      <c r="A28" s="1" t="s">
        <v>33</v>
      </c>
      <c r="L28" s="1">
        <v>0.59399999999999997</v>
      </c>
      <c r="M28" s="1">
        <v>0.6</v>
      </c>
      <c r="N28" s="1">
        <v>0.60699999999999998</v>
      </c>
      <c r="O28" s="1">
        <v>0.61299999999999999</v>
      </c>
      <c r="P28" s="1">
        <v>0.62</v>
      </c>
      <c r="Q28" s="1">
        <v>0.626</v>
      </c>
      <c r="R28" s="1">
        <v>0.63100000000000001</v>
      </c>
      <c r="S28" s="1">
        <v>0.64400000000000002</v>
      </c>
      <c r="T28" s="1">
        <v>0.65100000000000002</v>
      </c>
      <c r="U28" s="1">
        <v>0.65700000000000003</v>
      </c>
      <c r="V28" s="1">
        <v>0.66400000000000003</v>
      </c>
      <c r="W28" s="1">
        <v>0.67300000000000004</v>
      </c>
      <c r="X28" s="1">
        <v>0.68100000000000005</v>
      </c>
      <c r="Y28" s="1">
        <v>0.69</v>
      </c>
      <c r="Z28" s="1">
        <v>0.69699999999999995</v>
      </c>
      <c r="AA28" s="1">
        <v>0.70099999999999996</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A548-8537-FF41-B2A3-67B3072ACF44}">
  <dimension ref="A1:I22"/>
  <sheetViews>
    <sheetView workbookViewId="0">
      <selection activeCell="B61" sqref="B61"/>
    </sheetView>
  </sheetViews>
  <sheetFormatPr baseColWidth="10" defaultRowHeight="16" x14ac:dyDescent="0.2"/>
  <cols>
    <col min="1" max="16384" width="10.83203125" style="1"/>
  </cols>
  <sheetData>
    <row r="1" spans="1:9" x14ac:dyDescent="0.2">
      <c r="B1" s="1">
        <v>1990</v>
      </c>
      <c r="C1" s="1">
        <v>1991</v>
      </c>
      <c r="D1" s="1">
        <v>1992</v>
      </c>
      <c r="E1" s="1">
        <v>1993</v>
      </c>
      <c r="F1" s="1">
        <v>1994</v>
      </c>
      <c r="G1" s="1">
        <v>1995</v>
      </c>
      <c r="H1" s="1">
        <v>1996</v>
      </c>
      <c r="I1" s="1">
        <v>1997</v>
      </c>
    </row>
    <row r="2" spans="1:9" x14ac:dyDescent="0.2">
      <c r="A2" s="1" t="s">
        <v>27</v>
      </c>
      <c r="C2" s="1">
        <v>80.525689999999997</v>
      </c>
      <c r="D2" s="1">
        <v>78.309569999999994</v>
      </c>
      <c r="E2" s="1">
        <v>77.358490000000003</v>
      </c>
      <c r="F2" s="1">
        <v>71.962620000000001</v>
      </c>
      <c r="G2" s="1">
        <v>83.315730000000002</v>
      </c>
      <c r="H2" s="1">
        <v>83.496200000000002</v>
      </c>
    </row>
    <row r="3" spans="1:9" x14ac:dyDescent="0.2">
      <c r="A3" s="1" t="s">
        <v>23</v>
      </c>
      <c r="D3" s="1">
        <v>39.58587</v>
      </c>
      <c r="E3" s="1">
        <v>25.419930000000001</v>
      </c>
      <c r="F3" s="1">
        <v>26.349889999999998</v>
      </c>
      <c r="G3" s="1">
        <v>44.195520000000002</v>
      </c>
      <c r="H3" s="1">
        <v>26.436779999999999</v>
      </c>
    </row>
    <row r="4" spans="1:9" x14ac:dyDescent="0.2">
      <c r="A4" s="1" t="s">
        <v>3</v>
      </c>
      <c r="D4" s="1">
        <v>38.241759999999999</v>
      </c>
      <c r="E4" s="1">
        <v>37.99127</v>
      </c>
      <c r="F4" s="1">
        <v>34.865470000000002</v>
      </c>
      <c r="G4" s="1">
        <v>42.297980000000003</v>
      </c>
      <c r="H4" s="1">
        <v>47.26811</v>
      </c>
    </row>
    <row r="5" spans="1:9" x14ac:dyDescent="0.2">
      <c r="A5" s="1" t="s">
        <v>22</v>
      </c>
      <c r="B5" s="1">
        <v>65.414259999999999</v>
      </c>
      <c r="C5" s="1">
        <v>79.042689999999993</v>
      </c>
      <c r="D5" s="1">
        <v>73.359840000000005</v>
      </c>
      <c r="E5" s="1">
        <v>65.648049999999998</v>
      </c>
      <c r="F5" s="1">
        <v>48.199770000000001</v>
      </c>
      <c r="G5" s="1">
        <v>55.031059999999997</v>
      </c>
      <c r="H5" s="1">
        <v>58.808929999999997</v>
      </c>
      <c r="I5" s="1">
        <v>63.855420000000002</v>
      </c>
    </row>
    <row r="6" spans="1:9" x14ac:dyDescent="0.2">
      <c r="A6" s="1" t="s">
        <v>12</v>
      </c>
      <c r="G6" s="1">
        <v>79.812209999999993</v>
      </c>
      <c r="H6" s="1">
        <v>78.077370000000002</v>
      </c>
    </row>
    <row r="7" spans="1:9" x14ac:dyDescent="0.2">
      <c r="A7" s="1" t="s">
        <v>37</v>
      </c>
      <c r="B7" s="1">
        <v>85.770229999999998</v>
      </c>
      <c r="C7" s="1">
        <v>77.740859999999998</v>
      </c>
      <c r="D7" s="1">
        <v>62.839509999999997</v>
      </c>
      <c r="E7" s="1">
        <v>59.078209999999999</v>
      </c>
      <c r="F7" s="1">
        <v>57.2697</v>
      </c>
      <c r="G7" s="1">
        <v>54.842469999999999</v>
      </c>
      <c r="H7" s="1">
        <v>52.462769999999999</v>
      </c>
      <c r="I7" s="1">
        <v>37.795279999999998</v>
      </c>
    </row>
    <row r="8" spans="1:9" x14ac:dyDescent="0.2">
      <c r="A8" s="1" t="s">
        <v>13</v>
      </c>
      <c r="C8" s="1">
        <v>70.2864</v>
      </c>
      <c r="D8" s="1">
        <v>62.358849999999997</v>
      </c>
      <c r="E8" s="1">
        <v>68.090450000000004</v>
      </c>
      <c r="F8" s="1">
        <v>58.682630000000003</v>
      </c>
      <c r="G8" s="1">
        <v>62.126249999999999</v>
      </c>
      <c r="H8" s="1">
        <v>62.860080000000004</v>
      </c>
      <c r="I8" s="1">
        <v>63.205419999999997</v>
      </c>
    </row>
    <row r="9" spans="1:9" x14ac:dyDescent="0.2">
      <c r="A9" s="1" t="s">
        <v>26</v>
      </c>
      <c r="D9" s="1">
        <v>62.660440000000001</v>
      </c>
      <c r="F9" s="1">
        <v>32.318840000000002</v>
      </c>
      <c r="G9" s="1">
        <v>57.967379999999999</v>
      </c>
      <c r="H9" s="1">
        <v>63.283920000000002</v>
      </c>
    </row>
    <row r="10" spans="1:9" x14ac:dyDescent="0.2">
      <c r="A10" s="1" t="s">
        <v>9</v>
      </c>
      <c r="B10" s="1">
        <v>83.083219999999997</v>
      </c>
      <c r="C10" s="1">
        <v>85.145889999999994</v>
      </c>
      <c r="D10" s="1">
        <v>75.646259999999998</v>
      </c>
      <c r="E10" s="1">
        <v>64.790760000000006</v>
      </c>
      <c r="F10" s="1">
        <v>65.261629999999997</v>
      </c>
      <c r="G10" s="1">
        <v>54.435479999999998</v>
      </c>
      <c r="H10" s="1">
        <v>55.603450000000002</v>
      </c>
      <c r="I10" s="1">
        <v>55.967080000000003</v>
      </c>
    </row>
    <row r="11" spans="1:9" x14ac:dyDescent="0.2">
      <c r="A11" s="1" t="s">
        <v>7</v>
      </c>
      <c r="F11" s="1">
        <v>35.031059999999997</v>
      </c>
      <c r="G11" s="1">
        <v>38.078290000000003</v>
      </c>
      <c r="H11" s="1">
        <v>36.393439999999998</v>
      </c>
    </row>
    <row r="12" spans="1:9" x14ac:dyDescent="0.2">
      <c r="A12" s="1" t="s">
        <v>20</v>
      </c>
      <c r="C12" s="1">
        <v>69.286580000000001</v>
      </c>
      <c r="D12" s="1">
        <v>46.690309999999997</v>
      </c>
      <c r="E12" s="1">
        <v>55.444310000000002</v>
      </c>
      <c r="F12" s="1">
        <v>48.655259999999998</v>
      </c>
      <c r="G12" s="1">
        <v>52.312779999999997</v>
      </c>
      <c r="H12" s="1">
        <v>56.381659999999997</v>
      </c>
      <c r="I12" s="1">
        <v>56.235570000000003</v>
      </c>
    </row>
    <row r="13" spans="1:9" x14ac:dyDescent="0.2">
      <c r="A13" s="1" t="s">
        <v>21</v>
      </c>
      <c r="C13" s="1">
        <v>87.485380000000006</v>
      </c>
      <c r="D13" s="1">
        <v>78.240189999999998</v>
      </c>
      <c r="E13" s="1">
        <v>73.207989999999995</v>
      </c>
      <c r="F13" s="1">
        <v>59.484780000000001</v>
      </c>
      <c r="G13" s="1">
        <v>63.881749999999997</v>
      </c>
      <c r="H13" s="1">
        <v>57.440890000000003</v>
      </c>
      <c r="I13" s="1">
        <v>67.193680000000001</v>
      </c>
    </row>
    <row r="14" spans="1:9" x14ac:dyDescent="0.2">
      <c r="A14" s="1" t="s">
        <v>15</v>
      </c>
      <c r="D14" s="1">
        <v>36.861310000000003</v>
      </c>
      <c r="E14" s="1">
        <v>38.580930000000002</v>
      </c>
      <c r="F14" s="1">
        <v>40.740740000000002</v>
      </c>
      <c r="G14" s="1">
        <v>52.473959999999998</v>
      </c>
      <c r="H14" s="1">
        <v>52.409640000000003</v>
      </c>
    </row>
    <row r="15" spans="1:9" x14ac:dyDescent="0.2">
      <c r="A15" s="1" t="s">
        <v>16</v>
      </c>
      <c r="D15" s="1">
        <v>43.859650000000002</v>
      </c>
    </row>
    <row r="16" spans="1:9" x14ac:dyDescent="0.2">
      <c r="A16" s="1" t="s">
        <v>11</v>
      </c>
      <c r="B16" s="1">
        <v>81.578950000000006</v>
      </c>
      <c r="C16" s="1">
        <v>72.941180000000003</v>
      </c>
      <c r="D16" s="1">
        <v>69.586979999999997</v>
      </c>
      <c r="E16" s="1">
        <v>71.964960000000005</v>
      </c>
      <c r="F16" s="1">
        <v>68.882980000000003</v>
      </c>
      <c r="G16" s="1">
        <v>81.163079999999994</v>
      </c>
      <c r="H16" s="1">
        <v>75.384619999999998</v>
      </c>
      <c r="I16" s="1">
        <v>80.024209999999997</v>
      </c>
    </row>
    <row r="17" spans="1:9" x14ac:dyDescent="0.2">
      <c r="A17" s="1" t="s">
        <v>17</v>
      </c>
      <c r="C17" s="1">
        <v>42.326140000000002</v>
      </c>
      <c r="D17" s="1">
        <v>72.969970000000004</v>
      </c>
      <c r="E17" s="1">
        <v>68.571430000000007</v>
      </c>
      <c r="F17" s="1">
        <v>77.460049999999995</v>
      </c>
      <c r="G17" s="1">
        <v>77.272729999999996</v>
      </c>
      <c r="H17" s="1">
        <v>85.244439999999997</v>
      </c>
      <c r="I17" s="1">
        <v>74.715029999999999</v>
      </c>
    </row>
    <row r="18" spans="1:9" x14ac:dyDescent="0.2">
      <c r="A18" s="1" t="s">
        <v>38</v>
      </c>
      <c r="C18" s="1">
        <v>58.25864</v>
      </c>
      <c r="D18" s="1">
        <v>49.391730000000003</v>
      </c>
      <c r="E18" s="1">
        <v>36.623379999999997</v>
      </c>
      <c r="F18" s="1">
        <v>27.008150000000001</v>
      </c>
      <c r="G18" s="1">
        <v>23.38308</v>
      </c>
      <c r="H18" s="1">
        <v>29.638010000000001</v>
      </c>
    </row>
    <row r="19" spans="1:9" x14ac:dyDescent="0.2">
      <c r="A19" s="1" t="s">
        <v>39</v>
      </c>
      <c r="H19" s="1">
        <v>69.350960000000001</v>
      </c>
    </row>
    <row r="20" spans="1:9" x14ac:dyDescent="0.2">
      <c r="A20" s="1" t="s">
        <v>4</v>
      </c>
      <c r="B20" s="1">
        <v>72.727270000000004</v>
      </c>
      <c r="C20" s="1">
        <v>69.888480000000001</v>
      </c>
      <c r="D20" s="1">
        <v>57.25309</v>
      </c>
      <c r="E20" s="1">
        <v>50</v>
      </c>
      <c r="F20" s="1">
        <v>50.938969999999998</v>
      </c>
      <c r="G20" s="1">
        <v>50.055370000000003</v>
      </c>
      <c r="H20" s="1">
        <v>51.073450000000001</v>
      </c>
      <c r="I20" s="1">
        <v>43.179380000000002</v>
      </c>
    </row>
    <row r="21" spans="1:9" x14ac:dyDescent="0.2">
      <c r="A21" s="1" t="s">
        <v>6</v>
      </c>
      <c r="D21" s="1">
        <v>73.894739999999999</v>
      </c>
      <c r="E21" s="1">
        <v>52.913200000000003</v>
      </c>
      <c r="F21" s="1">
        <v>62.304250000000003</v>
      </c>
      <c r="G21" s="1">
        <v>55.190130000000003</v>
      </c>
      <c r="H21" s="1">
        <v>55.223880000000001</v>
      </c>
      <c r="I21" s="1">
        <v>53.846150000000002</v>
      </c>
    </row>
    <row r="22" spans="1:9" x14ac:dyDescent="0.2">
      <c r="A22" s="1" t="s">
        <v>8</v>
      </c>
      <c r="D22" s="1">
        <v>47.130429999999997</v>
      </c>
      <c r="E22" s="1">
        <v>37.643380000000001</v>
      </c>
      <c r="F22" s="1">
        <v>38.91892</v>
      </c>
      <c r="G22" s="1">
        <v>30.153510000000001</v>
      </c>
      <c r="H22" s="1">
        <v>32.449629999999999</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F5DB3-8EEB-B941-99D9-2BE27B603282}">
  <dimension ref="A1:T34"/>
  <sheetViews>
    <sheetView workbookViewId="0">
      <selection activeCell="B61" sqref="B61"/>
    </sheetView>
  </sheetViews>
  <sheetFormatPr baseColWidth="10" defaultRowHeight="16" x14ac:dyDescent="0.2"/>
  <cols>
    <col min="1" max="16384" width="10.83203125" style="1"/>
  </cols>
  <sheetData>
    <row r="1" spans="1:20" s="1" customFormat="1" x14ac:dyDescent="0.2">
      <c r="B1" s="1">
        <v>1991</v>
      </c>
      <c r="C1" s="1">
        <v>1992</v>
      </c>
      <c r="D1" s="1">
        <v>1993</v>
      </c>
      <c r="E1" s="1">
        <v>1994</v>
      </c>
      <c r="F1" s="1">
        <v>1995</v>
      </c>
      <c r="G1" s="1">
        <v>1996</v>
      </c>
      <c r="H1" s="1">
        <v>1997</v>
      </c>
      <c r="I1" s="1">
        <v>1998</v>
      </c>
      <c r="J1" s="1">
        <v>1999</v>
      </c>
      <c r="K1" s="1">
        <v>2000</v>
      </c>
      <c r="L1" s="1">
        <v>2001</v>
      </c>
      <c r="M1" s="1">
        <v>2002</v>
      </c>
      <c r="N1" s="1">
        <v>2003</v>
      </c>
      <c r="O1" s="1">
        <v>2004</v>
      </c>
      <c r="P1" s="1">
        <v>2005</v>
      </c>
      <c r="Q1" s="1">
        <v>2006</v>
      </c>
      <c r="R1" s="1">
        <v>2007</v>
      </c>
      <c r="S1" s="1">
        <v>2008</v>
      </c>
      <c r="T1" s="1">
        <v>2009</v>
      </c>
    </row>
    <row r="2" spans="1:20" s="1" customFormat="1" x14ac:dyDescent="0.2">
      <c r="A2" s="1" t="s">
        <v>3</v>
      </c>
      <c r="C2" s="1">
        <v>15</v>
      </c>
      <c r="D2" s="1">
        <v>11</v>
      </c>
      <c r="F2" s="1">
        <v>16</v>
      </c>
      <c r="I2" s="1">
        <v>38</v>
      </c>
      <c r="L2" s="1">
        <v>32</v>
      </c>
      <c r="O2" s="1">
        <v>78</v>
      </c>
    </row>
    <row r="3" spans="1:20" s="1" customFormat="1" x14ac:dyDescent="0.2">
      <c r="A3" s="1" t="s">
        <v>22</v>
      </c>
      <c r="B3" s="1">
        <v>23</v>
      </c>
      <c r="C3" s="1">
        <v>24</v>
      </c>
      <c r="D3" s="1">
        <v>15</v>
      </c>
      <c r="F3" s="1">
        <v>23</v>
      </c>
      <c r="I3" s="1">
        <v>35</v>
      </c>
      <c r="L3" s="1">
        <v>50</v>
      </c>
      <c r="O3" s="1">
        <v>42</v>
      </c>
    </row>
    <row r="4" spans="1:20" s="1" customFormat="1" x14ac:dyDescent="0.2">
      <c r="A4" s="1" t="s">
        <v>12</v>
      </c>
      <c r="C4" s="1">
        <v>22</v>
      </c>
      <c r="D4" s="1">
        <v>37</v>
      </c>
      <c r="F4" s="1">
        <v>42</v>
      </c>
      <c r="I4" s="1">
        <v>39</v>
      </c>
      <c r="O4" s="1">
        <v>31</v>
      </c>
    </row>
    <row r="5" spans="1:20" s="1" customFormat="1" x14ac:dyDescent="0.2">
      <c r="A5" s="1" t="s">
        <v>37</v>
      </c>
      <c r="B5" s="1">
        <v>57</v>
      </c>
      <c r="C5" s="1">
        <v>55</v>
      </c>
      <c r="D5" s="1">
        <v>66</v>
      </c>
      <c r="F5" s="1">
        <v>71</v>
      </c>
      <c r="I5" s="1">
        <v>38</v>
      </c>
      <c r="L5" s="1">
        <v>68</v>
      </c>
      <c r="O5" s="1">
        <v>66</v>
      </c>
    </row>
    <row r="6" spans="1:20" s="1" customFormat="1" x14ac:dyDescent="0.2">
      <c r="A6" s="1" t="s">
        <v>30</v>
      </c>
      <c r="B6" s="1">
        <v>51</v>
      </c>
    </row>
    <row r="7" spans="1:20" s="1" customFormat="1" x14ac:dyDescent="0.2">
      <c r="A7" s="1" t="s">
        <v>13</v>
      </c>
      <c r="D7" s="1">
        <v>42.006542500000002</v>
      </c>
      <c r="F7" s="1">
        <v>55.027999999999999</v>
      </c>
      <c r="G7" s="1">
        <v>63.915032699999998</v>
      </c>
      <c r="I7" s="1">
        <v>64</v>
      </c>
      <c r="K7" s="1">
        <v>72.106830099999996</v>
      </c>
      <c r="L7" s="1">
        <v>71.731150799999995</v>
      </c>
      <c r="O7" s="1">
        <v>78.613</v>
      </c>
    </row>
    <row r="8" spans="1:20" s="1" customFormat="1" x14ac:dyDescent="0.2">
      <c r="A8" s="1" t="s">
        <v>9</v>
      </c>
      <c r="B8" s="1">
        <v>37</v>
      </c>
      <c r="C8" s="1">
        <v>29</v>
      </c>
      <c r="D8" s="1">
        <v>27</v>
      </c>
      <c r="F8" s="1">
        <v>27</v>
      </c>
      <c r="I8" s="1">
        <v>40</v>
      </c>
      <c r="L8" s="1">
        <v>76</v>
      </c>
      <c r="O8" s="1">
        <v>49</v>
      </c>
    </row>
    <row r="9" spans="1:20" s="1" customFormat="1" x14ac:dyDescent="0.2">
      <c r="A9" s="1" t="s">
        <v>20</v>
      </c>
      <c r="D9" s="1">
        <v>22.3575105</v>
      </c>
      <c r="F9" s="1">
        <v>26.321999999999999</v>
      </c>
      <c r="G9" s="1">
        <v>20.643141199999999</v>
      </c>
      <c r="I9" s="1">
        <v>21</v>
      </c>
      <c r="K9" s="1">
        <v>34.780582500000001</v>
      </c>
      <c r="L9" s="1">
        <v>55.403596399999998</v>
      </c>
      <c r="O9" s="1">
        <v>49.48</v>
      </c>
    </row>
    <row r="10" spans="1:20" s="1" customFormat="1" x14ac:dyDescent="0.2">
      <c r="A10" s="1" t="s">
        <v>21</v>
      </c>
      <c r="D10" s="1">
        <v>27.483598400000002</v>
      </c>
      <c r="F10" s="1">
        <v>18.922999999999998</v>
      </c>
      <c r="G10" s="1">
        <v>27.079000000000001</v>
      </c>
      <c r="I10" s="1">
        <v>27</v>
      </c>
      <c r="K10" s="1">
        <v>24.618704999999999</v>
      </c>
      <c r="L10" s="1">
        <v>40.460854099999999</v>
      </c>
      <c r="O10" s="1">
        <v>73</v>
      </c>
    </row>
    <row r="11" spans="1:20" s="1" customFormat="1" x14ac:dyDescent="0.2">
      <c r="A11" s="1" t="s">
        <v>11</v>
      </c>
      <c r="B11" s="1">
        <v>31</v>
      </c>
      <c r="C11" s="1">
        <v>39</v>
      </c>
      <c r="D11" s="1">
        <v>50</v>
      </c>
      <c r="F11" s="1">
        <v>68</v>
      </c>
      <c r="I11" s="1">
        <v>61</v>
      </c>
      <c r="L11" s="1">
        <v>48</v>
      </c>
      <c r="O11" s="1">
        <v>51</v>
      </c>
    </row>
    <row r="12" spans="1:20" s="1" customFormat="1" x14ac:dyDescent="0.2">
      <c r="A12" s="1" t="s">
        <v>17</v>
      </c>
      <c r="B12" s="1">
        <v>33</v>
      </c>
      <c r="C12" s="1">
        <v>32</v>
      </c>
      <c r="D12" s="1">
        <v>35</v>
      </c>
      <c r="F12" s="1">
        <v>37</v>
      </c>
      <c r="I12" s="1">
        <v>27</v>
      </c>
      <c r="L12" s="1">
        <v>35</v>
      </c>
      <c r="O12" s="1">
        <v>43</v>
      </c>
    </row>
    <row r="13" spans="1:20" s="1" customFormat="1" x14ac:dyDescent="0.2">
      <c r="A13" s="1" t="s">
        <v>38</v>
      </c>
      <c r="C13" s="1">
        <v>9</v>
      </c>
      <c r="D13" s="1">
        <v>29</v>
      </c>
      <c r="E13" s="1">
        <v>14</v>
      </c>
      <c r="F13" s="1">
        <v>16</v>
      </c>
      <c r="G13" s="1">
        <v>25.5</v>
      </c>
      <c r="I13" s="1">
        <v>31</v>
      </c>
      <c r="K13" s="1">
        <v>30</v>
      </c>
      <c r="L13" s="1">
        <v>41</v>
      </c>
      <c r="N13" s="1">
        <v>54.5</v>
      </c>
      <c r="O13" s="1">
        <v>60</v>
      </c>
      <c r="P13" s="1">
        <v>41</v>
      </c>
      <c r="R13" s="1">
        <v>70.5</v>
      </c>
      <c r="S13" s="1">
        <v>81</v>
      </c>
      <c r="T13" s="1">
        <v>61</v>
      </c>
    </row>
    <row r="14" spans="1:20" s="1" customFormat="1" x14ac:dyDescent="0.2">
      <c r="A14" s="1" t="s">
        <v>39</v>
      </c>
      <c r="I14" s="1">
        <v>17</v>
      </c>
    </row>
    <row r="15" spans="1:20" s="1" customFormat="1" x14ac:dyDescent="0.2">
      <c r="A15" s="1" t="s">
        <v>4</v>
      </c>
      <c r="B15" s="1">
        <v>41</v>
      </c>
      <c r="C15" s="1">
        <v>34</v>
      </c>
      <c r="D15" s="1">
        <v>31</v>
      </c>
      <c r="F15" s="1">
        <v>43</v>
      </c>
      <c r="I15" s="1">
        <v>31</v>
      </c>
      <c r="L15" s="1">
        <v>30</v>
      </c>
      <c r="O15" s="1">
        <v>48</v>
      </c>
    </row>
    <row r="16" spans="1:20" s="1" customFormat="1" x14ac:dyDescent="0.2">
      <c r="A16" s="1" t="s">
        <v>6</v>
      </c>
      <c r="B16" s="1">
        <v>18</v>
      </c>
      <c r="C16" s="1">
        <v>35</v>
      </c>
      <c r="D16" s="1">
        <v>48</v>
      </c>
      <c r="F16" s="1">
        <v>55</v>
      </c>
      <c r="I16" s="1">
        <v>40</v>
      </c>
      <c r="L16" s="1">
        <v>74</v>
      </c>
      <c r="O16" s="1">
        <v>65</v>
      </c>
    </row>
    <row r="17" spans="1:15" s="1" customFormat="1" x14ac:dyDescent="0.2">
      <c r="A17" s="1" t="s">
        <v>8</v>
      </c>
      <c r="C17" s="1">
        <v>4</v>
      </c>
      <c r="D17" s="1">
        <v>6</v>
      </c>
      <c r="F17" s="1">
        <v>15</v>
      </c>
      <c r="I17" s="1">
        <v>10</v>
      </c>
      <c r="L17" s="1">
        <v>15</v>
      </c>
      <c r="O17" s="1">
        <v>54</v>
      </c>
    </row>
    <row r="19" spans="1:15" s="1" customFormat="1" x14ac:dyDescent="0.2"/>
    <row r="20" spans="1:15" s="1" customFormat="1" x14ac:dyDescent="0.2"/>
    <row r="21" spans="1:15" s="1" customFormat="1" x14ac:dyDescent="0.2"/>
    <row r="25" spans="1:15" s="1" customFormat="1" x14ac:dyDescent="0.2"/>
    <row r="29" spans="1:15" s="1" customFormat="1" x14ac:dyDescent="0.2"/>
    <row r="30" spans="1:15" s="1" customFormat="1" x14ac:dyDescent="0.2"/>
    <row r="31" spans="1:15" s="1" customFormat="1" x14ac:dyDescent="0.2"/>
    <row r="33" s="1" customFormat="1" x14ac:dyDescent="0.2"/>
    <row r="34" s="1" customFormat="1" x14ac:dyDescent="0.2"/>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BAD7E-9F43-7740-B105-DAADBBDC9482}">
  <dimension ref="A1:AD10"/>
  <sheetViews>
    <sheetView workbookViewId="0">
      <selection activeCell="B61" sqref="B61"/>
    </sheetView>
  </sheetViews>
  <sheetFormatPr baseColWidth="10" defaultRowHeight="16" x14ac:dyDescent="0.2"/>
  <cols>
    <col min="1" max="16384" width="10.83203125" style="1"/>
  </cols>
  <sheetData>
    <row r="1" spans="1:30" x14ac:dyDescent="0.2">
      <c r="B1" s="1">
        <v>1991</v>
      </c>
      <c r="C1" s="1">
        <v>1992</v>
      </c>
      <c r="D1" s="1">
        <v>1993</v>
      </c>
      <c r="E1" s="1">
        <v>1994</v>
      </c>
      <c r="F1" s="1">
        <v>1995</v>
      </c>
      <c r="G1" s="1">
        <v>1996</v>
      </c>
      <c r="H1" s="1">
        <v>1997</v>
      </c>
      <c r="I1" s="1">
        <v>1998</v>
      </c>
      <c r="J1" s="1">
        <v>1999</v>
      </c>
      <c r="K1" s="1">
        <v>2000</v>
      </c>
      <c r="L1" s="1">
        <v>2001</v>
      </c>
      <c r="M1" s="1">
        <v>2002</v>
      </c>
      <c r="N1" s="1">
        <v>2003</v>
      </c>
      <c r="O1" s="1">
        <v>2004</v>
      </c>
      <c r="P1" s="1">
        <v>2005</v>
      </c>
      <c r="Q1" s="1">
        <v>2006</v>
      </c>
      <c r="R1" s="1">
        <v>2007</v>
      </c>
      <c r="S1" s="1">
        <v>2008</v>
      </c>
      <c r="T1" s="1">
        <v>2009</v>
      </c>
      <c r="U1" s="1">
        <v>2010</v>
      </c>
      <c r="V1" s="1">
        <v>2011</v>
      </c>
      <c r="W1" s="1">
        <v>2012</v>
      </c>
      <c r="X1" s="1">
        <v>2013</v>
      </c>
      <c r="Y1" s="1">
        <v>2014</v>
      </c>
      <c r="Z1" s="1">
        <v>2015</v>
      </c>
      <c r="AA1" s="1">
        <v>2016</v>
      </c>
      <c r="AB1" s="1">
        <v>2017</v>
      </c>
      <c r="AC1" s="1">
        <v>2018</v>
      </c>
      <c r="AD1" s="1">
        <v>2019</v>
      </c>
    </row>
    <row r="2" spans="1:30" x14ac:dyDescent="0.2">
      <c r="A2" s="1" t="s">
        <v>22</v>
      </c>
      <c r="B2" s="1">
        <v>73</v>
      </c>
      <c r="T2" s="1">
        <v>53</v>
      </c>
      <c r="AD2" s="1">
        <v>55</v>
      </c>
    </row>
    <row r="3" spans="1:30" x14ac:dyDescent="0.2">
      <c r="A3" s="1" t="s">
        <v>37</v>
      </c>
      <c r="B3" s="1">
        <v>87</v>
      </c>
      <c r="T3" s="1">
        <v>79</v>
      </c>
      <c r="AD3" s="1">
        <v>76</v>
      </c>
    </row>
    <row r="4" spans="1:30" x14ac:dyDescent="0.2">
      <c r="A4" s="1" t="s">
        <v>9</v>
      </c>
      <c r="B4" s="1">
        <v>80</v>
      </c>
      <c r="T4" s="1">
        <v>46</v>
      </c>
      <c r="AD4" s="1">
        <v>70</v>
      </c>
    </row>
    <row r="5" spans="1:30" x14ac:dyDescent="0.2">
      <c r="A5" s="1" t="s">
        <v>21</v>
      </c>
      <c r="B5" s="1">
        <v>76</v>
      </c>
      <c r="T5" s="1">
        <v>50</v>
      </c>
      <c r="V5" s="1">
        <v>45</v>
      </c>
      <c r="AD5" s="1">
        <v>69</v>
      </c>
    </row>
    <row r="6" spans="1:30" x14ac:dyDescent="0.2">
      <c r="A6" s="1" t="s">
        <v>11</v>
      </c>
      <c r="B6" s="1">
        <v>80</v>
      </c>
      <c r="T6" s="1">
        <v>71</v>
      </c>
      <c r="AD6" s="1">
        <v>85</v>
      </c>
    </row>
    <row r="7" spans="1:30" x14ac:dyDescent="0.2">
      <c r="A7" s="1" t="s">
        <v>38</v>
      </c>
      <c r="B7" s="1">
        <v>54</v>
      </c>
      <c r="T7" s="1">
        <v>50</v>
      </c>
      <c r="V7" s="1">
        <v>42</v>
      </c>
      <c r="AD7" s="1">
        <v>38</v>
      </c>
    </row>
    <row r="8" spans="1:30" x14ac:dyDescent="0.2">
      <c r="A8" s="1" t="s">
        <v>4</v>
      </c>
      <c r="B8" s="1">
        <v>69</v>
      </c>
      <c r="T8" s="1">
        <v>66</v>
      </c>
      <c r="AD8" s="1">
        <v>71</v>
      </c>
    </row>
    <row r="9" spans="1:30" x14ac:dyDescent="0.2">
      <c r="A9" s="1" t="s">
        <v>8</v>
      </c>
      <c r="B9" s="1">
        <v>52</v>
      </c>
      <c r="T9" s="1">
        <v>36</v>
      </c>
      <c r="V9" s="1">
        <v>34</v>
      </c>
      <c r="AD9" s="1">
        <v>47</v>
      </c>
    </row>
    <row r="10" spans="1:30" x14ac:dyDescent="0.2">
      <c r="A10" s="1" t="s">
        <v>120</v>
      </c>
      <c r="B10" s="1">
        <v>86</v>
      </c>
      <c r="T10" s="1">
        <v>82</v>
      </c>
      <c r="AD10" s="1">
        <v>83</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DE78-3551-AA45-A697-2089F3079B6F}">
  <dimension ref="A1:J11"/>
  <sheetViews>
    <sheetView workbookViewId="0">
      <selection activeCell="B61" sqref="B61"/>
    </sheetView>
  </sheetViews>
  <sheetFormatPr baseColWidth="10" defaultRowHeight="16" x14ac:dyDescent="0.2"/>
  <cols>
    <col min="1" max="16384" width="10.83203125" style="1"/>
  </cols>
  <sheetData>
    <row r="1" spans="1:10" s="1" customFormat="1" x14ac:dyDescent="0.2">
      <c r="B1" s="1">
        <v>1993</v>
      </c>
      <c r="C1" s="1">
        <v>1994</v>
      </c>
      <c r="D1" s="1">
        <v>1995</v>
      </c>
      <c r="E1" s="1">
        <v>1996</v>
      </c>
      <c r="F1" s="1">
        <v>1997</v>
      </c>
      <c r="G1" s="1">
        <v>1998</v>
      </c>
      <c r="H1" s="1">
        <v>1999</v>
      </c>
      <c r="I1" s="1">
        <v>2000</v>
      </c>
      <c r="J1" s="1">
        <v>2001</v>
      </c>
    </row>
    <row r="2" spans="1:10" s="1" customFormat="1" x14ac:dyDescent="0.2">
      <c r="A2" s="1" t="s">
        <v>22</v>
      </c>
      <c r="B2" s="1">
        <v>27</v>
      </c>
      <c r="D2" s="1">
        <v>28</v>
      </c>
      <c r="G2" s="1">
        <v>26</v>
      </c>
      <c r="J2" s="1">
        <v>24</v>
      </c>
    </row>
    <row r="3" spans="1:10" s="1" customFormat="1" x14ac:dyDescent="0.2">
      <c r="A3" s="1" t="s">
        <v>37</v>
      </c>
      <c r="B3" s="1">
        <v>7</v>
      </c>
      <c r="D3" s="1">
        <v>9</v>
      </c>
      <c r="G3" s="1">
        <v>17</v>
      </c>
      <c r="J3" s="1">
        <v>18</v>
      </c>
    </row>
    <row r="4" spans="1:10" s="1" customFormat="1" x14ac:dyDescent="0.2">
      <c r="A4" s="1" t="s">
        <v>13</v>
      </c>
      <c r="D4" s="1">
        <v>6</v>
      </c>
      <c r="E4" s="1">
        <v>7</v>
      </c>
      <c r="I4" s="1">
        <v>15</v>
      </c>
      <c r="J4" s="1">
        <v>8</v>
      </c>
    </row>
    <row r="5" spans="1:10" s="1" customFormat="1" x14ac:dyDescent="0.2">
      <c r="A5" s="1" t="s">
        <v>9</v>
      </c>
      <c r="B5" s="1">
        <v>18</v>
      </c>
      <c r="D5" s="1">
        <v>20</v>
      </c>
      <c r="G5" s="1">
        <v>23</v>
      </c>
      <c r="J5" s="1">
        <v>16</v>
      </c>
    </row>
    <row r="6" spans="1:10" s="1" customFormat="1" x14ac:dyDescent="0.2">
      <c r="A6" s="1" t="s">
        <v>20</v>
      </c>
      <c r="D6" s="1">
        <v>7</v>
      </c>
      <c r="E6" s="1">
        <v>6</v>
      </c>
      <c r="I6" s="1">
        <v>3</v>
      </c>
      <c r="J6" s="1">
        <v>7</v>
      </c>
    </row>
    <row r="7" spans="1:10" s="1" customFormat="1" x14ac:dyDescent="0.2">
      <c r="A7" s="1" t="s">
        <v>21</v>
      </c>
      <c r="D7" s="1">
        <v>8</v>
      </c>
      <c r="E7" s="1">
        <v>7</v>
      </c>
      <c r="I7" s="1">
        <v>9</v>
      </c>
      <c r="J7" s="1">
        <v>14</v>
      </c>
    </row>
    <row r="8" spans="1:10" s="1" customFormat="1" x14ac:dyDescent="0.2">
      <c r="A8" s="1" t="s">
        <v>11</v>
      </c>
      <c r="B8" s="1">
        <v>17</v>
      </c>
      <c r="D8" s="1">
        <v>8</v>
      </c>
      <c r="G8" s="1">
        <v>13</v>
      </c>
      <c r="J8" s="1">
        <v>23</v>
      </c>
    </row>
    <row r="9" spans="1:10" s="1" customFormat="1" x14ac:dyDescent="0.2">
      <c r="A9" s="1" t="s">
        <v>17</v>
      </c>
      <c r="B9" s="1">
        <v>13</v>
      </c>
      <c r="D9" s="1">
        <v>10</v>
      </c>
      <c r="G9" s="1">
        <v>18</v>
      </c>
      <c r="J9" s="1">
        <v>18</v>
      </c>
    </row>
    <row r="10" spans="1:10" s="1" customFormat="1" x14ac:dyDescent="0.2">
      <c r="A10" s="1" t="s">
        <v>4</v>
      </c>
      <c r="B10" s="1">
        <v>16</v>
      </c>
      <c r="D10" s="1">
        <v>18</v>
      </c>
      <c r="G10" s="1">
        <v>29</v>
      </c>
      <c r="J10" s="1">
        <v>30</v>
      </c>
    </row>
    <row r="11" spans="1:10" s="1" customFormat="1" x14ac:dyDescent="0.2">
      <c r="A11" s="1" t="s">
        <v>6</v>
      </c>
      <c r="B11" s="1">
        <v>12</v>
      </c>
      <c r="D11" s="1">
        <v>13</v>
      </c>
      <c r="G11" s="1">
        <v>14</v>
      </c>
      <c r="J11" s="1">
        <v>23</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8A785-1D1C-014E-8B5D-D349D5AD1A54}">
  <dimension ref="A1:L9"/>
  <sheetViews>
    <sheetView workbookViewId="0">
      <selection activeCell="B61" sqref="B61"/>
    </sheetView>
  </sheetViews>
  <sheetFormatPr baseColWidth="10" defaultRowHeight="16" x14ac:dyDescent="0.2"/>
  <cols>
    <col min="1" max="16384" width="10.83203125" style="1"/>
  </cols>
  <sheetData>
    <row r="1" spans="1:12" x14ac:dyDescent="0.2">
      <c r="B1" s="1">
        <v>2009</v>
      </c>
      <c r="C1" s="1">
        <v>2010</v>
      </c>
      <c r="D1" s="1">
        <v>2011</v>
      </c>
      <c r="E1" s="1">
        <v>2012</v>
      </c>
      <c r="F1" s="1">
        <v>2013</v>
      </c>
      <c r="G1" s="1">
        <v>2014</v>
      </c>
      <c r="H1" s="1">
        <v>2015</v>
      </c>
      <c r="I1" s="1">
        <v>2016</v>
      </c>
      <c r="J1" s="1">
        <v>2017</v>
      </c>
      <c r="K1" s="1">
        <v>2018</v>
      </c>
      <c r="L1" s="1">
        <v>2019</v>
      </c>
    </row>
    <row r="2" spans="1:12" x14ac:dyDescent="0.2">
      <c r="A2" s="1" t="s">
        <v>22</v>
      </c>
      <c r="B2" s="1">
        <v>11</v>
      </c>
      <c r="L2" s="1">
        <v>19</v>
      </c>
    </row>
    <row r="3" spans="1:12" x14ac:dyDescent="0.2">
      <c r="A3" s="1" t="s">
        <v>37</v>
      </c>
      <c r="B3" s="1">
        <v>53</v>
      </c>
      <c r="L3" s="1">
        <v>54</v>
      </c>
    </row>
    <row r="4" spans="1:12" x14ac:dyDescent="0.2">
      <c r="A4" s="1" t="s">
        <v>9</v>
      </c>
      <c r="B4" s="1">
        <v>17</v>
      </c>
      <c r="L4" s="1">
        <v>41</v>
      </c>
    </row>
    <row r="5" spans="1:12" x14ac:dyDescent="0.2">
      <c r="A5" s="1" t="s">
        <v>21</v>
      </c>
      <c r="D5" s="1">
        <v>20</v>
      </c>
    </row>
    <row r="6" spans="1:12" x14ac:dyDescent="0.2">
      <c r="A6" s="1" t="s">
        <v>11</v>
      </c>
      <c r="B6" s="1">
        <v>42</v>
      </c>
      <c r="L6" s="1">
        <v>68</v>
      </c>
    </row>
    <row r="7" spans="1:12" x14ac:dyDescent="0.2">
      <c r="A7" s="1" t="s">
        <v>38</v>
      </c>
      <c r="B7" s="1">
        <v>21</v>
      </c>
      <c r="D7" s="1">
        <v>26</v>
      </c>
      <c r="L7" s="1">
        <v>22</v>
      </c>
    </row>
    <row r="8" spans="1:12" x14ac:dyDescent="0.2">
      <c r="A8" s="1" t="s">
        <v>4</v>
      </c>
      <c r="B8" s="1">
        <v>21</v>
      </c>
      <c r="L8" s="1">
        <v>42</v>
      </c>
    </row>
    <row r="9" spans="1:12" x14ac:dyDescent="0.2">
      <c r="A9" s="1" t="s">
        <v>8</v>
      </c>
      <c r="B9" s="1">
        <v>10</v>
      </c>
      <c r="D9" s="1">
        <v>11</v>
      </c>
      <c r="L9" s="1">
        <v>21</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5560-736F-0E42-94A1-4F924411ADC4}">
  <dimension ref="A1:P30"/>
  <sheetViews>
    <sheetView workbookViewId="0">
      <selection activeCell="B61" sqref="B61"/>
    </sheetView>
  </sheetViews>
  <sheetFormatPr baseColWidth="10" defaultRowHeight="16" x14ac:dyDescent="0.2"/>
  <cols>
    <col min="1" max="16384" width="10.83203125" style="1"/>
  </cols>
  <sheetData>
    <row r="1" spans="1:16" x14ac:dyDescent="0.2">
      <c r="B1" s="1">
        <v>2005</v>
      </c>
      <c r="C1" s="1">
        <v>2006</v>
      </c>
      <c r="D1" s="1">
        <v>2007</v>
      </c>
      <c r="E1" s="1">
        <v>2008</v>
      </c>
      <c r="F1" s="1">
        <v>2009</v>
      </c>
      <c r="G1" s="1">
        <v>2010</v>
      </c>
      <c r="H1" s="1">
        <v>2011</v>
      </c>
      <c r="I1" s="1">
        <v>2012</v>
      </c>
      <c r="J1" s="1">
        <v>2013</v>
      </c>
      <c r="K1" s="1">
        <v>2014</v>
      </c>
      <c r="L1" s="1">
        <v>2015</v>
      </c>
      <c r="M1" s="1">
        <v>2016</v>
      </c>
      <c r="N1" s="1">
        <v>2017</v>
      </c>
      <c r="O1" s="1">
        <v>2018</v>
      </c>
      <c r="P1" s="1">
        <v>2019</v>
      </c>
    </row>
    <row r="2" spans="1:16" x14ac:dyDescent="0.2">
      <c r="A2" s="1" t="s">
        <v>27</v>
      </c>
      <c r="D2" s="1">
        <v>4.6342515945434597</v>
      </c>
      <c r="F2" s="1">
        <v>5.4854698181152299</v>
      </c>
      <c r="G2" s="1">
        <v>5.2689366340637198</v>
      </c>
      <c r="H2" s="1">
        <v>5.8674216270446804</v>
      </c>
      <c r="I2" s="1">
        <v>5.5101242065429696</v>
      </c>
      <c r="J2" s="1">
        <v>4.5506477355956996</v>
      </c>
      <c r="K2" s="1">
        <v>4.8137631416320801</v>
      </c>
      <c r="L2" s="1">
        <v>4.60665082931519</v>
      </c>
      <c r="M2" s="1">
        <v>4.5111007690429696</v>
      </c>
      <c r="N2" s="1">
        <v>4.63954830169678</v>
      </c>
      <c r="O2" s="1">
        <v>5.0044026374816903</v>
      </c>
      <c r="P2" s="1">
        <v>4.9953179359436</v>
      </c>
    </row>
    <row r="3" spans="1:16" x14ac:dyDescent="0.2">
      <c r="A3" s="1" t="s">
        <v>23</v>
      </c>
      <c r="C3" s="1">
        <v>4.2893109321594203</v>
      </c>
      <c r="D3" s="1">
        <v>4.8815155029296902</v>
      </c>
      <c r="E3" s="1">
        <v>4.6519722938537598</v>
      </c>
      <c r="F3" s="1">
        <v>4.1775817871093803</v>
      </c>
      <c r="G3" s="1">
        <v>4.3678112030029297</v>
      </c>
      <c r="H3" s="1">
        <v>4.2604913711547896</v>
      </c>
      <c r="I3" s="1">
        <v>4.3197116851806596</v>
      </c>
      <c r="J3" s="1">
        <v>4.2771911621093803</v>
      </c>
      <c r="K3" s="1">
        <v>4.4530830383300799</v>
      </c>
      <c r="L3" s="1">
        <v>4.3483195304870597</v>
      </c>
      <c r="M3" s="1">
        <v>4.3254718780517596</v>
      </c>
      <c r="N3" s="1">
        <v>4.2877364158630398</v>
      </c>
      <c r="O3" s="1">
        <v>5.0624485015869096</v>
      </c>
    </row>
    <row r="4" spans="1:16" x14ac:dyDescent="0.2">
      <c r="A4" s="1" t="s">
        <v>29</v>
      </c>
      <c r="C4" s="1">
        <v>4.7278709411621103</v>
      </c>
      <c r="D4" s="1">
        <v>4.5681595802307102</v>
      </c>
      <c r="E4" s="1">
        <v>4.8171892166137704</v>
      </c>
      <c r="F4" s="1">
        <v>4.5737252235412598</v>
      </c>
      <c r="G4" s="1">
        <v>4.2186107635498002</v>
      </c>
      <c r="H4" s="1">
        <v>4.6804695129394496</v>
      </c>
      <c r="I4" s="1">
        <v>4.9107718467712402</v>
      </c>
      <c r="J4" s="1">
        <v>5.4811782836914098</v>
      </c>
      <c r="K4" s="1">
        <v>5.2515301704406703</v>
      </c>
      <c r="L4" s="1">
        <v>5.1467747688293501</v>
      </c>
      <c r="M4" s="1">
        <v>5.30389499664307</v>
      </c>
      <c r="N4" s="1">
        <v>5.1522793769836399</v>
      </c>
      <c r="O4" s="1">
        <v>5.1679954528808603</v>
      </c>
      <c r="P4" s="1">
        <v>5.1733894348144496</v>
      </c>
    </row>
    <row r="5" spans="1:16" x14ac:dyDescent="0.2">
      <c r="A5" s="1" t="s">
        <v>3</v>
      </c>
      <c r="C5" s="1">
        <v>5.6576499938964799</v>
      </c>
      <c r="D5" s="1">
        <v>5.6169762611389196</v>
      </c>
      <c r="E5" s="1">
        <v>5.4633321762084996</v>
      </c>
      <c r="F5" s="1">
        <v>5.5641312599182102</v>
      </c>
      <c r="G5" s="1">
        <v>5.5259232521057102</v>
      </c>
      <c r="H5" s="1">
        <v>5.2253079414367702</v>
      </c>
      <c r="I5" s="1">
        <v>5.7490434646606401</v>
      </c>
      <c r="J5" s="1">
        <v>5.8764662742614702</v>
      </c>
      <c r="K5" s="1">
        <v>5.8124008178710902</v>
      </c>
      <c r="L5" s="1">
        <v>5.7189078330993697</v>
      </c>
      <c r="M5" s="1">
        <v>5.1778993606567401</v>
      </c>
      <c r="N5" s="1">
        <v>5.5529150962829599</v>
      </c>
      <c r="O5" s="1">
        <v>5.2337698936462402</v>
      </c>
      <c r="P5" s="1">
        <v>5.8214530944824201</v>
      </c>
    </row>
    <row r="6" spans="1:16" x14ac:dyDescent="0.2">
      <c r="A6" s="1" t="s">
        <v>205</v>
      </c>
      <c r="D6" s="1">
        <v>4.8998069763183603</v>
      </c>
      <c r="F6" s="1">
        <v>4.9634771347045898</v>
      </c>
      <c r="G6" s="1">
        <v>4.66851758956909</v>
      </c>
      <c r="H6" s="1">
        <v>4.9946708679199201</v>
      </c>
      <c r="I6" s="1">
        <v>4.7731447219848597</v>
      </c>
      <c r="J6" s="1">
        <v>5.1236643791198704</v>
      </c>
      <c r="K6" s="1">
        <v>5.2489542961120597</v>
      </c>
      <c r="L6" s="1">
        <v>5.1171779632568404</v>
      </c>
      <c r="M6" s="1">
        <v>5.1808652877807599</v>
      </c>
      <c r="N6" s="1">
        <v>5.0899024009704599</v>
      </c>
      <c r="O6" s="1">
        <v>5.8874011039733896</v>
      </c>
      <c r="P6" s="1">
        <v>6.0155224800109899</v>
      </c>
    </row>
    <row r="7" spans="1:16" x14ac:dyDescent="0.2">
      <c r="A7" s="1" t="s">
        <v>22</v>
      </c>
      <c r="D7" s="1">
        <v>3.8437979221343999</v>
      </c>
      <c r="G7" s="1">
        <v>3.9122762680053702</v>
      </c>
      <c r="H7" s="1">
        <v>3.8753824234008798</v>
      </c>
      <c r="I7" s="1">
        <v>4.2222971916198704</v>
      </c>
      <c r="J7" s="1">
        <v>3.99302053451538</v>
      </c>
      <c r="K7" s="1">
        <v>4.4384398460388201</v>
      </c>
      <c r="L7" s="1">
        <v>4.8654012680053702</v>
      </c>
      <c r="M7" s="1">
        <v>4.8375606536865199</v>
      </c>
      <c r="N7" s="1">
        <v>5.09690189361572</v>
      </c>
      <c r="O7" s="1">
        <v>5.0988135337829599</v>
      </c>
      <c r="P7" s="1">
        <v>5.10843801498413</v>
      </c>
    </row>
    <row r="8" spans="1:16" x14ac:dyDescent="0.2">
      <c r="A8" s="1" t="s">
        <v>12</v>
      </c>
      <c r="D8" s="1">
        <v>5.8209075927734402</v>
      </c>
      <c r="F8" s="1">
        <v>5.4333195686340297</v>
      </c>
      <c r="G8" s="1">
        <v>5.5955753326415998</v>
      </c>
      <c r="H8" s="1">
        <v>5.3853726387023899</v>
      </c>
      <c r="I8" s="1">
        <v>6.0276346206665004</v>
      </c>
      <c r="J8" s="1">
        <v>5.8854627609252903</v>
      </c>
      <c r="K8" s="1">
        <v>5.3806924819946298</v>
      </c>
      <c r="L8" s="1">
        <v>5.2054381370544398</v>
      </c>
      <c r="M8" s="1">
        <v>5.4168753623962402</v>
      </c>
      <c r="N8" s="1">
        <v>5.3431658744812003</v>
      </c>
      <c r="O8" s="1">
        <v>5.5362710952758798</v>
      </c>
      <c r="P8" s="1">
        <v>5.6257438659668004</v>
      </c>
    </row>
    <row r="9" spans="1:16" x14ac:dyDescent="0.2">
      <c r="A9" s="1" t="s">
        <v>5</v>
      </c>
      <c r="B9" s="1">
        <v>6.4392566680908203</v>
      </c>
      <c r="D9" s="1">
        <v>6.5001940727233896</v>
      </c>
      <c r="G9" s="1">
        <v>6.2496175765991202</v>
      </c>
      <c r="H9" s="1">
        <v>6.3314909934997603</v>
      </c>
      <c r="I9" s="1">
        <v>6.3341493606567401</v>
      </c>
      <c r="J9" s="1">
        <v>6.6976556777954102</v>
      </c>
      <c r="K9" s="1">
        <v>6.4837298393249503</v>
      </c>
      <c r="L9" s="1">
        <v>6.6080174446106001</v>
      </c>
      <c r="M9" s="1">
        <v>6.7356271743774396</v>
      </c>
      <c r="N9" s="1">
        <v>6.7895679473876998</v>
      </c>
      <c r="O9" s="1">
        <v>7.0341653823852504</v>
      </c>
    </row>
    <row r="10" spans="1:16" x14ac:dyDescent="0.2">
      <c r="A10" s="1" t="s">
        <v>13</v>
      </c>
      <c r="C10" s="1">
        <v>5.37105464935303</v>
      </c>
      <c r="D10" s="1">
        <v>5.3320441246032697</v>
      </c>
      <c r="E10" s="1">
        <v>5.4519376754760698</v>
      </c>
      <c r="F10" s="1">
        <v>5.1377387046814</v>
      </c>
      <c r="H10" s="1">
        <v>5.4868197441101101</v>
      </c>
      <c r="I10" s="1">
        <v>5.3639278411865199</v>
      </c>
      <c r="J10" s="1">
        <v>5.3674459457397496</v>
      </c>
      <c r="K10" s="1">
        <v>5.5559825897216797</v>
      </c>
      <c r="L10" s="1">
        <v>5.6289086341857901</v>
      </c>
      <c r="M10" s="1">
        <v>5.6496753692626998</v>
      </c>
      <c r="N10" s="1">
        <v>5.9383959770202601</v>
      </c>
      <c r="O10" s="1">
        <v>6.0913023948669398</v>
      </c>
      <c r="P10" s="1">
        <v>6.0346412658691397</v>
      </c>
    </row>
    <row r="11" spans="1:16" x14ac:dyDescent="0.2">
      <c r="A11" s="1" t="s">
        <v>26</v>
      </c>
      <c r="C11" s="1">
        <v>3.6751084327697798</v>
      </c>
      <c r="D11" s="1">
        <v>3.7071945667266801</v>
      </c>
      <c r="E11" s="1">
        <v>4.1560902595520002</v>
      </c>
      <c r="F11" s="1">
        <v>3.8006391525268599</v>
      </c>
      <c r="G11" s="1">
        <v>4.1018371582031197</v>
      </c>
      <c r="H11" s="1">
        <v>4.2030305862426802</v>
      </c>
      <c r="I11" s="1">
        <v>4.2544455528259304</v>
      </c>
      <c r="J11" s="1">
        <v>4.3489208221435502</v>
      </c>
      <c r="K11" s="1">
        <v>4.2875080108642596</v>
      </c>
      <c r="L11" s="1">
        <v>4.1219406127929696</v>
      </c>
      <c r="M11" s="1">
        <v>4.44838619232178</v>
      </c>
      <c r="N11" s="1">
        <v>4.4507746696472203</v>
      </c>
      <c r="O11" s="1">
        <v>4.65909719467163</v>
      </c>
      <c r="P11" s="1">
        <v>4.8918356895446804</v>
      </c>
    </row>
    <row r="12" spans="1:16" x14ac:dyDescent="0.2">
      <c r="A12" s="1" t="s">
        <v>9</v>
      </c>
      <c r="B12" s="1">
        <v>5.1939334869384801</v>
      </c>
      <c r="D12" s="1">
        <v>4.9539170265197798</v>
      </c>
      <c r="F12" s="1">
        <v>4.8946003913879403</v>
      </c>
      <c r="G12" s="1">
        <v>4.7251324653625497</v>
      </c>
      <c r="H12" s="1">
        <v>4.9176025390625</v>
      </c>
      <c r="I12" s="1">
        <v>4.6833581924438503</v>
      </c>
      <c r="J12" s="1">
        <v>4.9144668579101598</v>
      </c>
      <c r="K12" s="1">
        <v>5.18056344985962</v>
      </c>
      <c r="L12" s="1">
        <v>5.3443832397460902</v>
      </c>
      <c r="M12" s="1">
        <v>5.4489016532897896</v>
      </c>
      <c r="N12" s="1">
        <v>6.0650386810302699</v>
      </c>
      <c r="O12" s="1">
        <v>5.9357709884643599</v>
      </c>
      <c r="P12" s="1">
        <v>6.0002598762512198</v>
      </c>
    </row>
    <row r="13" spans="1:16" x14ac:dyDescent="0.2">
      <c r="A13" s="1" t="s">
        <v>7</v>
      </c>
      <c r="C13" s="1">
        <v>5.4759483337402299</v>
      </c>
      <c r="D13" s="1">
        <v>5.7185535430908203</v>
      </c>
      <c r="E13" s="1">
        <v>5.8864197731018102</v>
      </c>
      <c r="F13" s="1">
        <v>5.3825631141662598</v>
      </c>
      <c r="G13" s="1">
        <v>5.5142865180969203</v>
      </c>
      <c r="H13" s="1">
        <v>5.7356629371643102</v>
      </c>
      <c r="I13" s="1">
        <v>5.7594695091247603</v>
      </c>
      <c r="J13" s="1">
        <v>5.8354830741882298</v>
      </c>
      <c r="K13" s="1">
        <v>5.9700975418090803</v>
      </c>
      <c r="L13" s="1">
        <v>5.9499950408935502</v>
      </c>
      <c r="M13" s="1">
        <v>5.53355169296265</v>
      </c>
      <c r="N13" s="1">
        <v>5.8823513984680202</v>
      </c>
      <c r="O13" s="1">
        <v>6.0076360702514604</v>
      </c>
      <c r="P13" s="1">
        <v>6.2722682952880904</v>
      </c>
    </row>
    <row r="14" spans="1:16" x14ac:dyDescent="0.2">
      <c r="A14" s="1" t="s">
        <v>10</v>
      </c>
      <c r="D14" s="1">
        <v>5.1039061546325701</v>
      </c>
      <c r="E14" s="1">
        <v>5.5216598510742196</v>
      </c>
      <c r="F14" s="1">
        <v>5.8914327621459996</v>
      </c>
      <c r="G14" s="1">
        <v>5.1766014099121103</v>
      </c>
      <c r="H14" s="1">
        <v>4.8595018386840803</v>
      </c>
      <c r="I14" s="1">
        <v>5.63958835601807</v>
      </c>
      <c r="J14" s="1">
        <v>6.1257581710815403</v>
      </c>
      <c r="K14" s="1">
        <v>5.0003752708435103</v>
      </c>
      <c r="L14" s="1">
        <v>5.0774607658386204</v>
      </c>
      <c r="M14" s="1">
        <v>5.7594122886657697</v>
      </c>
      <c r="N14" s="1">
        <v>6.1491999626159703</v>
      </c>
      <c r="O14" s="1">
        <v>6.3918256759643599</v>
      </c>
      <c r="P14" s="1">
        <v>6.4251441955566397</v>
      </c>
    </row>
    <row r="15" spans="1:16" x14ac:dyDescent="0.2">
      <c r="A15" s="1" t="s">
        <v>14</v>
      </c>
      <c r="C15" s="1">
        <v>4.6413989067077601</v>
      </c>
      <c r="D15" s="1">
        <v>4.6977615356445304</v>
      </c>
      <c r="E15" s="1">
        <v>4.7365880012512198</v>
      </c>
      <c r="F15" s="1">
        <v>5.0690536499023402</v>
      </c>
      <c r="G15" s="1">
        <v>4.9964108467102104</v>
      </c>
      <c r="H15" s="1">
        <v>4.9210491180419904</v>
      </c>
      <c r="I15" s="1">
        <v>5.20778560638428</v>
      </c>
      <c r="J15" s="1">
        <v>5.40242671966553</v>
      </c>
      <c r="K15" s="1">
        <v>5.2521929740905797</v>
      </c>
      <c r="L15" s="1">
        <v>4.9053759574890101</v>
      </c>
      <c r="M15" s="1">
        <v>4.8565340042114302</v>
      </c>
      <c r="N15" s="1">
        <v>5.6295366287231401</v>
      </c>
      <c r="O15" s="1">
        <v>5.2973833084106401</v>
      </c>
      <c r="P15" s="1">
        <v>5.68522071838379</v>
      </c>
    </row>
    <row r="16" spans="1:16" x14ac:dyDescent="0.2">
      <c r="A16" s="1" t="s">
        <v>20</v>
      </c>
      <c r="C16" s="1">
        <v>4.7095022201538104</v>
      </c>
      <c r="D16" s="1">
        <v>4.6669716835021999</v>
      </c>
      <c r="E16" s="1">
        <v>5.1453752517700204</v>
      </c>
      <c r="F16" s="1">
        <v>4.6689105033874503</v>
      </c>
      <c r="H16" s="1">
        <v>4.9668116569518999</v>
      </c>
      <c r="I16" s="1">
        <v>5.1250252723693803</v>
      </c>
      <c r="J16" s="1">
        <v>5.0697703361511204</v>
      </c>
      <c r="K16" s="1">
        <v>5.7291154861450204</v>
      </c>
      <c r="L16" s="1">
        <v>5.88059759140015</v>
      </c>
      <c r="M16" s="1">
        <v>5.9404463768005398</v>
      </c>
      <c r="N16" s="1">
        <v>5.9778175354003897</v>
      </c>
      <c r="O16" s="1">
        <v>5.9011540412902797</v>
      </c>
      <c r="P16" s="1">
        <v>5.9697537422180202</v>
      </c>
    </row>
    <row r="17" spans="1:16" x14ac:dyDescent="0.2">
      <c r="A17" s="1" t="s">
        <v>21</v>
      </c>
      <c r="C17" s="1">
        <v>5.9544429779052699</v>
      </c>
      <c r="D17" s="1">
        <v>5.8082847595214799</v>
      </c>
      <c r="E17" s="1">
        <v>5.5539259910583496</v>
      </c>
      <c r="F17" s="1">
        <v>5.4669208526611301</v>
      </c>
      <c r="G17" s="1">
        <v>5.0658249855041504</v>
      </c>
      <c r="H17" s="1">
        <v>5.4324374198913601</v>
      </c>
      <c r="I17" s="1">
        <v>5.7710371017456099</v>
      </c>
      <c r="J17" s="1">
        <v>5.5956892967224103</v>
      </c>
      <c r="K17" s="1">
        <v>6.1257238388061497</v>
      </c>
      <c r="L17" s="1">
        <v>5.7113780975341797</v>
      </c>
      <c r="M17" s="1">
        <v>5.8655524253845197</v>
      </c>
      <c r="N17" s="1">
        <v>6.2729406356811497</v>
      </c>
      <c r="O17" s="1">
        <v>6.3088788986206099</v>
      </c>
      <c r="P17" s="1">
        <v>6.0640978813171396</v>
      </c>
    </row>
    <row r="18" spans="1:16" x14ac:dyDescent="0.2">
      <c r="A18" s="1" t="s">
        <v>15</v>
      </c>
      <c r="D18" s="1">
        <v>4.4935984611511204</v>
      </c>
      <c r="F18" s="1">
        <v>4.4280219078064</v>
      </c>
      <c r="G18" s="1">
        <v>4.1802020072937003</v>
      </c>
      <c r="H18" s="1">
        <v>4.8981800079345703</v>
      </c>
      <c r="I18" s="1">
        <v>4.63964748382568</v>
      </c>
      <c r="J18" s="1">
        <v>5.1861906051635698</v>
      </c>
      <c r="K18" s="1">
        <v>5.2038259506225604</v>
      </c>
      <c r="L18" s="1">
        <v>4.9755897521972701</v>
      </c>
      <c r="M18" s="1">
        <v>5.3457460403442401</v>
      </c>
      <c r="N18" s="1">
        <v>5.2338666915893599</v>
      </c>
      <c r="O18" s="1">
        <v>5.2398347854614302</v>
      </c>
      <c r="P18" s="1">
        <v>5.01548528671265</v>
      </c>
    </row>
    <row r="19" spans="1:16" x14ac:dyDescent="0.2">
      <c r="A19" s="1" t="s">
        <v>16</v>
      </c>
      <c r="C19" s="1">
        <v>5.1020712852478001</v>
      </c>
      <c r="D19" s="1">
        <v>4.7749180793762198</v>
      </c>
      <c r="E19" s="1">
        <v>5.5027561187744096</v>
      </c>
      <c r="F19" s="1">
        <v>5.5543742179870597</v>
      </c>
      <c r="G19" s="1">
        <v>5.5897364616393999</v>
      </c>
      <c r="H19" s="1">
        <v>5.7922625541687003</v>
      </c>
      <c r="I19" s="1">
        <v>5.9957127571106001</v>
      </c>
      <c r="J19" s="1">
        <v>5.7560591697692898</v>
      </c>
      <c r="K19" s="1">
        <v>5.9170584678649902</v>
      </c>
      <c r="L19" s="1">
        <v>6.0174722671508798</v>
      </c>
      <c r="M19" s="1">
        <v>5.5777840614318803</v>
      </c>
      <c r="N19" s="1">
        <v>5.3255305290222203</v>
      </c>
      <c r="O19" s="1">
        <v>5.6822772026062003</v>
      </c>
      <c r="P19" s="1">
        <v>5.8034505844116202</v>
      </c>
    </row>
    <row r="20" spans="1:16" x14ac:dyDescent="0.2">
      <c r="A20" s="1" t="s">
        <v>24</v>
      </c>
      <c r="D20" s="1">
        <v>5.1963152885437003</v>
      </c>
      <c r="F20" s="1">
        <v>4.8010601997375497</v>
      </c>
      <c r="G20" s="1">
        <v>5.4550304412841797</v>
      </c>
      <c r="H20" s="1">
        <v>5.2231168746948198</v>
      </c>
      <c r="I20" s="1">
        <v>5.2187242507934597</v>
      </c>
      <c r="J20" s="1">
        <v>5.07434177398682</v>
      </c>
      <c r="K20" s="1">
        <v>5.2827205657959002</v>
      </c>
      <c r="L20" s="1">
        <v>5.1249213218689</v>
      </c>
      <c r="M20" s="1">
        <v>5.3040661811828604</v>
      </c>
      <c r="N20" s="1">
        <v>5.6147985458373997</v>
      </c>
      <c r="O20" s="1">
        <v>5.6501898765564</v>
      </c>
      <c r="P20" s="1">
        <v>5.38602495193481</v>
      </c>
    </row>
    <row r="21" spans="1:16" x14ac:dyDescent="0.2">
      <c r="A21" s="1" t="s">
        <v>11</v>
      </c>
      <c r="B21" s="1">
        <v>5.5872092247009304</v>
      </c>
      <c r="D21" s="1">
        <v>5.8861374855041504</v>
      </c>
      <c r="F21" s="1">
        <v>5.7720274925231898</v>
      </c>
      <c r="G21" s="1">
        <v>5.8870296478271502</v>
      </c>
      <c r="H21" s="1">
        <v>5.6462049484252903</v>
      </c>
      <c r="I21" s="1">
        <v>5.8759317398071298</v>
      </c>
      <c r="J21" s="1">
        <v>5.7461318969726598</v>
      </c>
      <c r="K21" s="1">
        <v>5.7502822875976598</v>
      </c>
      <c r="L21" s="1">
        <v>6.0070219039917001</v>
      </c>
      <c r="M21" s="1">
        <v>6.1620764732360804</v>
      </c>
      <c r="N21" s="1">
        <v>6.2012681961059597</v>
      </c>
      <c r="O21" s="1">
        <v>6.1114850044250497</v>
      </c>
      <c r="P21" s="1">
        <v>6.2420940399169904</v>
      </c>
    </row>
    <row r="22" spans="1:16" x14ac:dyDescent="0.2">
      <c r="A22" s="1" t="s">
        <v>17</v>
      </c>
      <c r="B22" s="1">
        <v>5.0486483573913601</v>
      </c>
      <c r="D22" s="1">
        <v>5.3937239646911603</v>
      </c>
      <c r="F22" s="1">
        <v>5.3675651550293004</v>
      </c>
      <c r="G22" s="1">
        <v>4.9091658592224103</v>
      </c>
      <c r="H22" s="1">
        <v>5.0227575302123997</v>
      </c>
      <c r="I22" s="1">
        <v>5.1668748855590803</v>
      </c>
      <c r="J22" s="1">
        <v>5.0815844535827601</v>
      </c>
      <c r="K22" s="1">
        <v>5.7268934249877903</v>
      </c>
      <c r="L22" s="1">
        <v>5.7774910926818803</v>
      </c>
      <c r="M22" s="1">
        <v>5.9688706398010298</v>
      </c>
      <c r="N22" s="1">
        <v>6.08990478515625</v>
      </c>
      <c r="O22" s="1">
        <v>6.15087890625</v>
      </c>
      <c r="P22" s="1">
        <v>6.1299424171447798</v>
      </c>
    </row>
    <row r="23" spans="1:16" x14ac:dyDescent="0.2">
      <c r="A23" s="1" t="s">
        <v>18</v>
      </c>
      <c r="C23" s="1">
        <v>4.9637427330017099</v>
      </c>
      <c r="D23" s="1">
        <v>5.2228674888610804</v>
      </c>
      <c r="E23" s="1">
        <v>5.6187539100646999</v>
      </c>
      <c r="F23" s="1">
        <v>5.1582279205322301</v>
      </c>
      <c r="G23" s="1">
        <v>5.3847732543945304</v>
      </c>
      <c r="H23" s="1">
        <v>5.3887662887573198</v>
      </c>
      <c r="I23" s="1">
        <v>5.6207356452941903</v>
      </c>
      <c r="J23" s="1">
        <v>5.5371775627136204</v>
      </c>
      <c r="K23" s="1">
        <v>6.0369768142700204</v>
      </c>
      <c r="L23" s="1">
        <v>5.9955387115478498</v>
      </c>
      <c r="M23" s="1">
        <v>5.8549456596374503</v>
      </c>
      <c r="N23" s="1">
        <v>5.5787429809570304</v>
      </c>
      <c r="O23" s="1">
        <v>5.5135002136230504</v>
      </c>
    </row>
    <row r="24" spans="1:16" x14ac:dyDescent="0.2">
      <c r="A24" s="1" t="s">
        <v>19</v>
      </c>
      <c r="D24" s="1">
        <v>4.75038385391235</v>
      </c>
      <c r="F24" s="1">
        <v>4.3803119659423801</v>
      </c>
      <c r="G24" s="1">
        <v>4.46130418777466</v>
      </c>
      <c r="H24" s="1">
        <v>4.81518650054932</v>
      </c>
      <c r="I24" s="1">
        <v>5.1545219421386701</v>
      </c>
      <c r="J24" s="1">
        <v>5.1018404960632298</v>
      </c>
      <c r="K24" s="1">
        <v>5.1127285957336399</v>
      </c>
      <c r="L24" s="1">
        <v>5.3176851272582999</v>
      </c>
      <c r="M24" s="1">
        <v>5.7527546882629403</v>
      </c>
      <c r="N24" s="1">
        <v>5.12203121185303</v>
      </c>
      <c r="O24" s="1">
        <v>5.9364933967590297</v>
      </c>
      <c r="P24" s="1">
        <v>6.2414073944091797</v>
      </c>
    </row>
    <row r="25" spans="1:16" x14ac:dyDescent="0.2">
      <c r="A25" s="1" t="s">
        <v>4</v>
      </c>
      <c r="C25" s="1">
        <v>5.2646765708923304</v>
      </c>
      <c r="G25" s="1">
        <v>6.0522232055664098</v>
      </c>
      <c r="H25" s="1">
        <v>5.9450483322143599</v>
      </c>
      <c r="I25" s="1">
        <v>5.9110593795776403</v>
      </c>
      <c r="J25" s="1">
        <v>5.9365272521972701</v>
      </c>
      <c r="K25" s="1">
        <v>6.1388731002807599</v>
      </c>
      <c r="L25" s="1">
        <v>6.1620044708251998</v>
      </c>
      <c r="M25" s="1">
        <v>5.99316310882568</v>
      </c>
      <c r="N25" s="1">
        <v>6.3655090332031197</v>
      </c>
      <c r="O25" s="1">
        <v>6.2351107597351101</v>
      </c>
      <c r="P25" s="1">
        <v>6.2434287071228001</v>
      </c>
    </row>
    <row r="26" spans="1:16" x14ac:dyDescent="0.2">
      <c r="A26" s="1" t="s">
        <v>6</v>
      </c>
      <c r="C26" s="1">
        <v>5.8112645149231001</v>
      </c>
      <c r="F26" s="1">
        <v>5.83016061782837</v>
      </c>
      <c r="G26" s="1">
        <v>6.0825552940368697</v>
      </c>
      <c r="H26" s="1">
        <v>6.0359640121459996</v>
      </c>
      <c r="I26" s="1">
        <v>6.0628910064697301</v>
      </c>
      <c r="J26" s="1">
        <v>5.9748888015747097</v>
      </c>
      <c r="K26" s="1">
        <v>5.6783952713012704</v>
      </c>
      <c r="L26" s="1">
        <v>5.7406420707702601</v>
      </c>
      <c r="M26" s="1">
        <v>5.9368214607238796</v>
      </c>
      <c r="N26" s="1">
        <v>6.1668376922607404</v>
      </c>
      <c r="O26" s="1">
        <v>6.2494192123413104</v>
      </c>
      <c r="P26" s="1">
        <v>6.6652736663818404</v>
      </c>
    </row>
    <row r="27" spans="1:16" x14ac:dyDescent="0.2">
      <c r="A27" s="1" t="s">
        <v>28</v>
      </c>
      <c r="C27" s="1">
        <v>4.61309909820557</v>
      </c>
      <c r="D27" s="1">
        <v>4.4316086769104004</v>
      </c>
      <c r="E27" s="1">
        <v>5.06398677825928</v>
      </c>
      <c r="F27" s="1">
        <v>4.5751748085021999</v>
      </c>
      <c r="G27" s="1">
        <v>4.38063621520996</v>
      </c>
      <c r="H27" s="1">
        <v>4.2626714706420898</v>
      </c>
      <c r="I27" s="1">
        <v>4.4965715408325204</v>
      </c>
      <c r="J27" s="1">
        <v>4.9665212631225604</v>
      </c>
      <c r="K27" s="1">
        <v>4.89615774154663</v>
      </c>
      <c r="L27" s="1">
        <v>5.1242108345031703</v>
      </c>
      <c r="M27" s="1">
        <v>5.10372114181519</v>
      </c>
      <c r="N27" s="1">
        <v>5.8292341232299796</v>
      </c>
      <c r="O27" s="1">
        <v>5.4974689483642596</v>
      </c>
      <c r="P27" s="1">
        <v>5.4640154838562003</v>
      </c>
    </row>
    <row r="28" spans="1:16" x14ac:dyDescent="0.2">
      <c r="A28" s="1" t="s">
        <v>32</v>
      </c>
      <c r="F28" s="1">
        <v>6.5677132606506303</v>
      </c>
      <c r="H28" s="1">
        <v>5.7917547225952104</v>
      </c>
      <c r="I28" s="1">
        <v>5.46382713317871</v>
      </c>
      <c r="J28" s="1">
        <v>5.39176273345947</v>
      </c>
      <c r="K28" s="1">
        <v>5.7873792648315403</v>
      </c>
      <c r="L28" s="1">
        <v>5.7914600372314498</v>
      </c>
      <c r="M28" s="1">
        <v>5.8870515823364302</v>
      </c>
      <c r="N28" s="1">
        <v>5.2291488647460902</v>
      </c>
      <c r="O28" s="1">
        <v>4.6206016540527299</v>
      </c>
      <c r="P28" s="1">
        <v>5.4742999076843297</v>
      </c>
    </row>
    <row r="29" spans="1:16" x14ac:dyDescent="0.2">
      <c r="A29" s="1" t="s">
        <v>8</v>
      </c>
      <c r="C29" s="1">
        <v>4.80395412445068</v>
      </c>
      <c r="D29" s="1">
        <v>5.2521815299987802</v>
      </c>
      <c r="E29" s="1">
        <v>5.1723804473876998</v>
      </c>
      <c r="F29" s="1">
        <v>5.1656394004821804</v>
      </c>
      <c r="G29" s="1">
        <v>5.0575613975524902</v>
      </c>
      <c r="H29" s="1">
        <v>5.0831327438354501</v>
      </c>
      <c r="I29" s="1">
        <v>5.0303421020507804</v>
      </c>
      <c r="J29" s="1">
        <v>4.7108025550842303</v>
      </c>
      <c r="K29" s="1">
        <v>4.2973299026489302</v>
      </c>
      <c r="L29" s="1">
        <v>3.9645428657531698</v>
      </c>
      <c r="M29" s="1">
        <v>4.0286903381347701</v>
      </c>
      <c r="N29" s="1">
        <v>4.3110671043395996</v>
      </c>
      <c r="O29" s="1">
        <v>4.6619091033935502</v>
      </c>
      <c r="P29" s="1">
        <v>4.7017621994018599</v>
      </c>
    </row>
    <row r="30" spans="1:16" x14ac:dyDescent="0.2">
      <c r="A30" s="1" t="s">
        <v>33</v>
      </c>
      <c r="C30" s="1">
        <v>5.23232221603394</v>
      </c>
      <c r="E30" s="1">
        <v>5.3113684654235804</v>
      </c>
      <c r="F30" s="1">
        <v>5.26072072982788</v>
      </c>
      <c r="G30" s="1">
        <v>5.0953421592712402</v>
      </c>
      <c r="H30" s="1">
        <v>5.7387442588806197</v>
      </c>
      <c r="I30" s="1">
        <v>6.0193319320678702</v>
      </c>
      <c r="J30" s="1">
        <v>5.9399862289428702</v>
      </c>
      <c r="K30" s="1">
        <v>6.0492124557495099</v>
      </c>
      <c r="L30" s="1">
        <v>5.9723644256591797</v>
      </c>
      <c r="M30" s="1">
        <v>5.89253902435303</v>
      </c>
      <c r="N30" s="1">
        <v>6.42144775390625</v>
      </c>
      <c r="O30" s="1">
        <v>6.2054600715637198</v>
      </c>
      <c r="P30" s="1">
        <v>6.1540493965148899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4CF26-A075-7947-B70D-32010AF0A919}">
  <dimension ref="A1:AM20"/>
  <sheetViews>
    <sheetView workbookViewId="0">
      <selection activeCell="B61" sqref="B61"/>
    </sheetView>
  </sheetViews>
  <sheetFormatPr baseColWidth="10" defaultRowHeight="16" x14ac:dyDescent="0.2"/>
  <cols>
    <col min="1" max="16384" width="10.83203125" style="1"/>
  </cols>
  <sheetData>
    <row r="1" spans="1:39" x14ac:dyDescent="0.2">
      <c r="B1" s="1">
        <v>1980</v>
      </c>
      <c r="C1" s="1">
        <v>1981</v>
      </c>
      <c r="D1" s="1">
        <v>1982</v>
      </c>
      <c r="E1" s="1">
        <v>1983</v>
      </c>
      <c r="F1" s="1">
        <v>1984</v>
      </c>
      <c r="G1" s="1">
        <v>1985</v>
      </c>
      <c r="H1" s="1">
        <v>1986</v>
      </c>
      <c r="I1" s="1">
        <v>1987</v>
      </c>
      <c r="J1" s="1">
        <v>1988</v>
      </c>
      <c r="K1" s="1">
        <v>1989</v>
      </c>
      <c r="L1" s="1">
        <v>1990</v>
      </c>
      <c r="M1" s="1">
        <v>1991</v>
      </c>
      <c r="N1" s="1">
        <v>1992</v>
      </c>
      <c r="O1" s="1">
        <v>1993</v>
      </c>
      <c r="P1" s="1">
        <v>1994</v>
      </c>
      <c r="Q1" s="1">
        <v>1995</v>
      </c>
      <c r="R1" s="1">
        <v>1996</v>
      </c>
      <c r="S1" s="1">
        <v>1997</v>
      </c>
      <c r="T1" s="1">
        <v>1998</v>
      </c>
      <c r="U1" s="1">
        <v>1999</v>
      </c>
      <c r="V1" s="1">
        <v>2000</v>
      </c>
      <c r="W1" s="1">
        <v>2001</v>
      </c>
      <c r="X1" s="1">
        <v>2002</v>
      </c>
      <c r="Y1" s="1">
        <v>2003</v>
      </c>
      <c r="Z1" s="1">
        <v>2004</v>
      </c>
      <c r="AA1" s="1">
        <v>2005</v>
      </c>
      <c r="AB1" s="1">
        <v>2006</v>
      </c>
      <c r="AC1" s="1">
        <v>2007</v>
      </c>
      <c r="AD1" s="1">
        <v>2008</v>
      </c>
      <c r="AE1" s="1">
        <v>2009</v>
      </c>
      <c r="AF1" s="1">
        <v>2010</v>
      </c>
      <c r="AG1" s="1">
        <v>2011</v>
      </c>
      <c r="AH1" s="1">
        <v>2012</v>
      </c>
      <c r="AI1" s="1">
        <v>2013</v>
      </c>
      <c r="AJ1" s="1">
        <v>2014</v>
      </c>
      <c r="AK1" s="1">
        <v>2015</v>
      </c>
      <c r="AL1" s="1">
        <v>2016</v>
      </c>
      <c r="AM1" s="1">
        <v>2017</v>
      </c>
    </row>
    <row r="2" spans="1:39" x14ac:dyDescent="0.2">
      <c r="A2" s="1" t="s">
        <v>27</v>
      </c>
      <c r="R2" s="1">
        <v>7.5700000000000003E-2</v>
      </c>
      <c r="S2" s="1">
        <v>7.9000003999999999E-2</v>
      </c>
      <c r="T2" s="1">
        <v>8.1299997999999998E-2</v>
      </c>
      <c r="U2" s="1">
        <v>8.0799996999999998E-2</v>
      </c>
      <c r="V2" s="1">
        <v>8.3099998999999994E-2</v>
      </c>
      <c r="W2" s="1">
        <v>8.4299996000000002E-2</v>
      </c>
      <c r="X2" s="1">
        <v>8.5500002000000005E-2</v>
      </c>
      <c r="Y2" s="1">
        <v>8.6599997999999997E-2</v>
      </c>
      <c r="Z2" s="1">
        <v>8.4899999000000004E-2</v>
      </c>
      <c r="AA2" s="1">
        <v>8.3400004E-2</v>
      </c>
      <c r="AB2" s="1">
        <v>8.3599999999999994E-2</v>
      </c>
      <c r="AC2" s="1">
        <v>7.9899997E-2</v>
      </c>
      <c r="AD2" s="1">
        <v>8.4799998000000001E-2</v>
      </c>
      <c r="AE2" s="1">
        <v>8.2199997999999996E-2</v>
      </c>
      <c r="AF2" s="1">
        <v>7.6399996999999997E-2</v>
      </c>
      <c r="AG2" s="1">
        <v>7.6899997999999997E-2</v>
      </c>
      <c r="AH2" s="1">
        <v>7.7399998999999997E-2</v>
      </c>
      <c r="AI2" s="1">
        <v>7.9099998000000005E-2</v>
      </c>
      <c r="AJ2" s="1">
        <v>7.9700001000000006E-2</v>
      </c>
      <c r="AK2" s="1">
        <v>8.0600001000000004E-2</v>
      </c>
      <c r="AL2" s="1">
        <v>8.1200004000000006E-2</v>
      </c>
      <c r="AM2" s="1">
        <v>8.2099996999999994E-2</v>
      </c>
    </row>
    <row r="3" spans="1:39" x14ac:dyDescent="0.2">
      <c r="A3" s="1" t="s">
        <v>25</v>
      </c>
      <c r="B3" s="1">
        <v>5.4400001000000003E-2</v>
      </c>
      <c r="C3" s="1">
        <v>5.4499999E-2</v>
      </c>
      <c r="D3" s="1">
        <v>5.4499999E-2</v>
      </c>
      <c r="E3" s="1">
        <v>5.4400001000000003E-2</v>
      </c>
      <c r="F3" s="1">
        <v>5.9099998000000001E-2</v>
      </c>
      <c r="G3" s="1">
        <v>5.5199999E-2</v>
      </c>
      <c r="H3" s="1">
        <v>5.2700002000000003E-2</v>
      </c>
      <c r="I3" s="1">
        <v>5.8200002000000001E-2</v>
      </c>
      <c r="J3" s="1">
        <v>5.2099999000000001E-2</v>
      </c>
      <c r="K3" s="1">
        <v>5.1399998000000002E-2</v>
      </c>
      <c r="L3" s="1">
        <v>5.0299997999999999E-2</v>
      </c>
      <c r="M3" s="1">
        <v>5.4499999E-2</v>
      </c>
      <c r="N3" s="1">
        <v>5.8899999000000001E-2</v>
      </c>
      <c r="O3" s="1">
        <v>6.3699997999999994E-2</v>
      </c>
      <c r="P3" s="1">
        <v>6.8899997000000004E-2</v>
      </c>
      <c r="Q3" s="1">
        <v>7.4500001999999996E-2</v>
      </c>
      <c r="R3" s="1">
        <v>7.7699997000000007E-2</v>
      </c>
      <c r="S3" s="1">
        <v>8.0600001000000004E-2</v>
      </c>
      <c r="T3" s="1">
        <v>8.5299999000000001E-2</v>
      </c>
      <c r="U3" s="1">
        <v>8.4600001999999994E-2</v>
      </c>
      <c r="V3" s="1">
        <v>8.6300001000000001E-2</v>
      </c>
      <c r="W3" s="1">
        <v>8.9100002999999997E-2</v>
      </c>
      <c r="X3" s="1">
        <v>8.9900002000000007E-2</v>
      </c>
      <c r="Y3" s="1">
        <v>9.0300001000000005E-2</v>
      </c>
      <c r="Z3" s="1">
        <v>8.7099998999999997E-2</v>
      </c>
      <c r="AA3" s="1">
        <v>8.5900001000000004E-2</v>
      </c>
      <c r="AB3" s="1">
        <v>7.9999998000000003E-2</v>
      </c>
      <c r="AC3" s="1">
        <v>7.6200001000000003E-2</v>
      </c>
      <c r="AD3" s="1">
        <v>8.1600003000000004E-2</v>
      </c>
      <c r="AE3" s="1">
        <v>8.1100002000000004E-2</v>
      </c>
      <c r="AF3" s="1">
        <v>8.1600003000000004E-2</v>
      </c>
      <c r="AG3" s="1">
        <v>8.4299996000000002E-2</v>
      </c>
      <c r="AH3" s="1">
        <v>8.3300001999999998E-2</v>
      </c>
      <c r="AI3" s="1">
        <v>8.5800000000000001E-2</v>
      </c>
      <c r="AJ3" s="1">
        <v>8.6999996999999996E-2</v>
      </c>
      <c r="AK3" s="1">
        <v>8.7999999999999995E-2</v>
      </c>
      <c r="AL3" s="1">
        <v>8.8500000999999995E-2</v>
      </c>
      <c r="AM3" s="1">
        <v>8.9500002999999995E-2</v>
      </c>
    </row>
    <row r="4" spans="1:39" x14ac:dyDescent="0.2">
      <c r="A4" s="1" t="s">
        <v>22</v>
      </c>
      <c r="B4" s="1">
        <v>2.8200000999999999E-2</v>
      </c>
      <c r="C4" s="1">
        <v>3.0200001000000001E-2</v>
      </c>
      <c r="D4" s="1">
        <v>4.5100000000000001E-2</v>
      </c>
      <c r="E4" s="1">
        <v>4.7600001000000003E-2</v>
      </c>
      <c r="F4" s="1">
        <v>4.1599999999999998E-2</v>
      </c>
      <c r="G4" s="1">
        <v>3.4600000999999998E-2</v>
      </c>
      <c r="H4" s="1">
        <v>2.6599999999999999E-2</v>
      </c>
      <c r="I4" s="1">
        <v>2.1700000000000001E-2</v>
      </c>
      <c r="J4" s="1">
        <v>1.9699999999999999E-2</v>
      </c>
      <c r="K4" s="1">
        <v>4.1099998999999998E-2</v>
      </c>
      <c r="L4" s="1">
        <v>5.0700001000000001E-2</v>
      </c>
      <c r="M4" s="1">
        <v>7.1300000000000002E-2</v>
      </c>
      <c r="N4" s="1">
        <v>8.6400002000000004E-2</v>
      </c>
      <c r="O4" s="1">
        <v>9.2299997999999994E-2</v>
      </c>
      <c r="P4" s="1">
        <v>0.12089999999999999</v>
      </c>
      <c r="Q4" s="1">
        <v>0.12819999000000001</v>
      </c>
      <c r="R4" s="1">
        <v>0.1192</v>
      </c>
      <c r="S4" s="1">
        <v>0.1111</v>
      </c>
      <c r="T4" s="1">
        <v>0.1002</v>
      </c>
      <c r="U4" s="1">
        <v>9.6500002000000001E-2</v>
      </c>
      <c r="V4" s="1">
        <v>9.1399996999999997E-2</v>
      </c>
      <c r="W4" s="1">
        <v>9.8499998000000005E-2</v>
      </c>
      <c r="X4" s="1">
        <v>0.10979999999999999</v>
      </c>
      <c r="Y4" s="1">
        <v>0.1061</v>
      </c>
      <c r="Z4" s="1">
        <v>0.10440000000000001</v>
      </c>
      <c r="AA4" s="1">
        <v>0.1041</v>
      </c>
      <c r="AB4" s="1">
        <v>0.10199999999999999</v>
      </c>
      <c r="AC4" s="1">
        <v>8.8799998000000005E-2</v>
      </c>
      <c r="AD4" s="1">
        <v>7.8799999999999995E-2</v>
      </c>
      <c r="AE4" s="1">
        <v>0.1003</v>
      </c>
      <c r="AF4" s="1">
        <v>9.9699995999999999E-2</v>
      </c>
      <c r="AG4" s="1">
        <v>0.1046</v>
      </c>
      <c r="AH4" s="1">
        <v>0.1176</v>
      </c>
      <c r="AI4" s="1">
        <v>0.1066</v>
      </c>
      <c r="AJ4" s="1">
        <v>0.1192</v>
      </c>
      <c r="AK4" s="1">
        <v>0.121</v>
      </c>
      <c r="AL4" s="1">
        <v>0.124</v>
      </c>
      <c r="AM4" s="1">
        <v>0.12630000999999999</v>
      </c>
    </row>
    <row r="5" spans="1:39" x14ac:dyDescent="0.2">
      <c r="A5" s="1" t="s">
        <v>12</v>
      </c>
      <c r="E5" s="1">
        <v>4.1599999999999998E-2</v>
      </c>
      <c r="F5" s="1">
        <v>4.2199999000000002E-2</v>
      </c>
      <c r="G5" s="1">
        <v>4.2399999000000001E-2</v>
      </c>
      <c r="H5" s="1">
        <v>4.2800001999999997E-2</v>
      </c>
      <c r="I5" s="1">
        <v>4.0300000000000002E-2</v>
      </c>
      <c r="J5" s="1">
        <v>4.0300000000000002E-2</v>
      </c>
      <c r="K5" s="1">
        <v>4.6100002000000001E-2</v>
      </c>
      <c r="L5" s="1">
        <v>4.8900000999999998E-2</v>
      </c>
      <c r="M5" s="1">
        <v>5.2900001000000002E-2</v>
      </c>
      <c r="N5" s="1">
        <v>5.7000000000000002E-2</v>
      </c>
      <c r="O5" s="1">
        <v>6.1099999000000002E-2</v>
      </c>
      <c r="P5" s="1">
        <v>6.5300002999999995E-2</v>
      </c>
      <c r="Q5" s="1">
        <v>6.9200001999999997E-2</v>
      </c>
      <c r="R5" s="1">
        <v>7.2599999999999998E-2</v>
      </c>
      <c r="S5" s="1">
        <v>7.6700002000000003E-2</v>
      </c>
      <c r="T5" s="1">
        <v>7.5000002999999996E-2</v>
      </c>
      <c r="U5" s="1">
        <v>7.6399996999999997E-2</v>
      </c>
      <c r="V5" s="1">
        <v>7.5599998000000002E-2</v>
      </c>
      <c r="W5" s="1">
        <v>7.7100001000000001E-2</v>
      </c>
      <c r="X5" s="1">
        <v>7.9300000999999995E-2</v>
      </c>
      <c r="Y5" s="1">
        <v>7.8900001999999997E-2</v>
      </c>
      <c r="Z5" s="1">
        <v>8.4399998000000004E-2</v>
      </c>
      <c r="AA5" s="1">
        <v>8.8100000999999997E-2</v>
      </c>
      <c r="AB5" s="1">
        <v>9.4300001999999994E-2</v>
      </c>
      <c r="AC5" s="1">
        <v>9.6900000999999999E-2</v>
      </c>
      <c r="AD5" s="1">
        <v>9.3099996000000004E-2</v>
      </c>
      <c r="AE5" s="1">
        <v>8.2900003E-2</v>
      </c>
      <c r="AF5" s="1">
        <v>7.9599999000000005E-2</v>
      </c>
      <c r="AG5" s="1">
        <v>8.4399998000000004E-2</v>
      </c>
      <c r="AH5" s="1">
        <v>7.9899997E-2</v>
      </c>
      <c r="AI5" s="1">
        <v>8.7700001999999999E-2</v>
      </c>
      <c r="AJ5" s="1">
        <v>8.2699998999999996E-2</v>
      </c>
      <c r="AK5" s="1">
        <v>8.1600003000000004E-2</v>
      </c>
      <c r="AL5" s="1">
        <v>8.1799998999999998E-2</v>
      </c>
      <c r="AM5" s="1">
        <v>8.2000002000000002E-2</v>
      </c>
    </row>
    <row r="6" spans="1:39" x14ac:dyDescent="0.2">
      <c r="A6" s="1" t="s">
        <v>5</v>
      </c>
      <c r="B6" s="1">
        <v>2.4199999999999999E-2</v>
      </c>
      <c r="C6" s="1">
        <v>2.41E-2</v>
      </c>
      <c r="D6" s="1">
        <v>2.4E-2</v>
      </c>
      <c r="E6" s="1">
        <v>2.4E-2</v>
      </c>
      <c r="F6" s="1">
        <v>2.3900000000000001E-2</v>
      </c>
      <c r="G6" s="1">
        <v>2.3800001000000001E-2</v>
      </c>
      <c r="H6" s="1">
        <v>2.5100000000000001E-2</v>
      </c>
      <c r="I6" s="1">
        <v>2.6599999999999999E-2</v>
      </c>
      <c r="J6" s="1">
        <v>2.7899999000000002E-2</v>
      </c>
      <c r="K6" s="1">
        <v>3.6299999999999999E-2</v>
      </c>
      <c r="L6" s="1">
        <v>4.4500000999999997E-2</v>
      </c>
      <c r="M6" s="1">
        <v>6.0299999999999999E-2</v>
      </c>
      <c r="N6" s="1">
        <v>7.7200003000000003E-2</v>
      </c>
      <c r="O6" s="1">
        <v>9.0099998000000001E-2</v>
      </c>
      <c r="P6" s="1">
        <v>9.7499996000000005E-2</v>
      </c>
      <c r="Q6" s="1">
        <v>9.4499998000000002E-2</v>
      </c>
      <c r="R6" s="1">
        <v>9.7999997000000005E-2</v>
      </c>
      <c r="S6" s="1">
        <v>9.0400003000000007E-2</v>
      </c>
      <c r="T6" s="1">
        <v>9.9699995999999999E-2</v>
      </c>
      <c r="U6" s="1">
        <v>9.7800001999999997E-2</v>
      </c>
      <c r="V6" s="1">
        <v>9.6500002000000001E-2</v>
      </c>
      <c r="W6" s="1">
        <v>9.7699999999999995E-2</v>
      </c>
      <c r="X6" s="1">
        <v>9.4700001000000006E-2</v>
      </c>
      <c r="Y6" s="1">
        <v>9.9299997000000001E-2</v>
      </c>
      <c r="Z6" s="1">
        <v>9.7599997999999993E-2</v>
      </c>
      <c r="AA6" s="1">
        <v>0.104</v>
      </c>
      <c r="AB6" s="1">
        <v>9.4200000000000006E-2</v>
      </c>
      <c r="AC6" s="1">
        <v>0.1012</v>
      </c>
      <c r="AD6" s="1">
        <v>0.12180000000000001</v>
      </c>
      <c r="AE6" s="1">
        <v>0.1019</v>
      </c>
      <c r="AF6" s="1">
        <v>9.7999997000000005E-2</v>
      </c>
      <c r="AG6" s="1">
        <v>9.6699997999999995E-2</v>
      </c>
      <c r="AH6" s="1">
        <v>0.104</v>
      </c>
      <c r="AI6" s="1">
        <v>9.5600002000000003E-2</v>
      </c>
      <c r="AJ6" s="1">
        <v>9.8300002999999997E-2</v>
      </c>
      <c r="AK6" s="1">
        <v>0.1024</v>
      </c>
      <c r="AL6" s="1">
        <v>9.9100000999999993E-2</v>
      </c>
      <c r="AM6" s="1">
        <v>0.10050000000000001</v>
      </c>
    </row>
    <row r="7" spans="1:39" x14ac:dyDescent="0.2">
      <c r="A7" s="1" t="s">
        <v>13</v>
      </c>
      <c r="B7" s="1">
        <v>4.6999998000000001E-2</v>
      </c>
      <c r="C7" s="1">
        <v>4.6999998000000001E-2</v>
      </c>
      <c r="D7" s="1">
        <v>4.6999998000000001E-2</v>
      </c>
      <c r="E7" s="1">
        <v>4.6999998000000001E-2</v>
      </c>
      <c r="F7" s="1">
        <v>4.6999998000000001E-2</v>
      </c>
      <c r="G7" s="1">
        <v>4.6999998000000001E-2</v>
      </c>
      <c r="H7" s="1">
        <v>4.6999998000000001E-2</v>
      </c>
      <c r="I7" s="1">
        <v>4.6999998000000001E-2</v>
      </c>
      <c r="J7" s="1">
        <v>4.6999998000000001E-2</v>
      </c>
      <c r="K7" s="1">
        <v>6.7500003000000003E-2</v>
      </c>
      <c r="L7" s="1">
        <v>8.6000003000000005E-2</v>
      </c>
      <c r="M7" s="1">
        <v>0.107</v>
      </c>
      <c r="N7" s="1">
        <v>0.1069</v>
      </c>
      <c r="O7" s="1">
        <v>0.13070001000000001</v>
      </c>
      <c r="P7" s="1">
        <v>0.1336</v>
      </c>
      <c r="Q7" s="1">
        <v>0.15260001000000001</v>
      </c>
      <c r="R7" s="1">
        <v>0.1646</v>
      </c>
      <c r="S7" s="1">
        <v>0.16339998999999999</v>
      </c>
      <c r="T7" s="1">
        <v>0.15090001</v>
      </c>
      <c r="U7" s="1">
        <v>0.15350000999999999</v>
      </c>
      <c r="V7" s="1">
        <v>0.1547</v>
      </c>
      <c r="W7" s="1">
        <v>0.1542</v>
      </c>
      <c r="X7" s="1">
        <v>0.16830000000000001</v>
      </c>
      <c r="Y7" s="1">
        <v>0.16800000000000001</v>
      </c>
      <c r="Z7" s="1">
        <v>0.16089999999999999</v>
      </c>
      <c r="AA7" s="1">
        <v>0.2014</v>
      </c>
      <c r="AB7" s="1">
        <v>0.17760000000000001</v>
      </c>
      <c r="AC7" s="1">
        <v>0.1593</v>
      </c>
      <c r="AD7" s="1">
        <v>0.13109999999999999</v>
      </c>
      <c r="AE7" s="1">
        <v>9.9699995999999999E-2</v>
      </c>
      <c r="AF7" s="1">
        <v>0.11360000000000001</v>
      </c>
      <c r="AG7" s="1">
        <v>0.12790000000000001</v>
      </c>
      <c r="AH7" s="1">
        <v>0.12530000999999999</v>
      </c>
      <c r="AI7" s="1">
        <v>0.1227</v>
      </c>
      <c r="AJ7" s="1">
        <v>0.11990000000000001</v>
      </c>
      <c r="AK7" s="1">
        <v>0.10539999999999999</v>
      </c>
      <c r="AL7" s="1">
        <v>0.1023</v>
      </c>
      <c r="AM7" s="1">
        <v>0.1111</v>
      </c>
    </row>
    <row r="8" spans="1:39" x14ac:dyDescent="0.2">
      <c r="A8" s="1" t="s">
        <v>9</v>
      </c>
      <c r="B8" s="1">
        <v>2.6900001E-2</v>
      </c>
      <c r="C8" s="1">
        <v>2.6599999999999999E-2</v>
      </c>
      <c r="D8" s="1">
        <v>2.6200000000000001E-2</v>
      </c>
      <c r="E8" s="1">
        <v>2.5800000999999999E-2</v>
      </c>
      <c r="F8" s="1">
        <v>2.5499999999999998E-2</v>
      </c>
      <c r="G8" s="1">
        <v>2.63E-2</v>
      </c>
      <c r="H8" s="1">
        <v>2.7100000999999999E-2</v>
      </c>
      <c r="I8" s="1">
        <v>3.1500001E-2</v>
      </c>
      <c r="J8" s="1">
        <v>3.5799998999999999E-2</v>
      </c>
      <c r="K8" s="1">
        <v>4.3299998999999999E-2</v>
      </c>
      <c r="L8" s="1">
        <v>5.0799998999999998E-2</v>
      </c>
      <c r="M8" s="1">
        <v>5.8299999999999998E-2</v>
      </c>
      <c r="N8" s="1">
        <v>6.5899998000000001E-2</v>
      </c>
      <c r="O8" s="1">
        <v>6.8700000999999997E-2</v>
      </c>
      <c r="P8" s="1">
        <v>6.8700000999999997E-2</v>
      </c>
      <c r="Q8" s="1">
        <v>7.1300000000000002E-2</v>
      </c>
      <c r="R8" s="1">
        <v>7.7799997999999995E-2</v>
      </c>
      <c r="S8" s="1">
        <v>8.14E-2</v>
      </c>
      <c r="T8" s="1">
        <v>8.5600003999999993E-2</v>
      </c>
      <c r="U8" s="1">
        <v>8.7599999999999997E-2</v>
      </c>
      <c r="V8" s="1">
        <v>9.0700001000000002E-2</v>
      </c>
      <c r="W8" s="1">
        <v>0.1003</v>
      </c>
      <c r="X8" s="1">
        <v>0.1086</v>
      </c>
      <c r="Y8" s="1">
        <v>0.1069</v>
      </c>
      <c r="Z8" s="1">
        <v>0.1041</v>
      </c>
      <c r="AA8" s="1">
        <v>0.1169</v>
      </c>
      <c r="AB8" s="1">
        <v>0.1245</v>
      </c>
      <c r="AC8" s="1">
        <v>0.1138</v>
      </c>
      <c r="AD8" s="1">
        <v>0.112</v>
      </c>
      <c r="AE8" s="1">
        <v>0.1105</v>
      </c>
      <c r="AF8" s="1">
        <v>0.114</v>
      </c>
      <c r="AG8" s="1">
        <v>0.1099</v>
      </c>
      <c r="AH8" s="1">
        <v>0.1024</v>
      </c>
      <c r="AI8" s="1">
        <v>0.1164</v>
      </c>
      <c r="AJ8" s="1">
        <v>0.1147</v>
      </c>
      <c r="AK8" s="1">
        <v>0.1183</v>
      </c>
      <c r="AL8" s="1">
        <v>0.1197</v>
      </c>
      <c r="AM8" s="1">
        <v>0.12130000000000001</v>
      </c>
    </row>
    <row r="9" spans="1:39" x14ac:dyDescent="0.2">
      <c r="A9" s="1" t="s">
        <v>10</v>
      </c>
      <c r="Y9" s="1">
        <v>7.5999997999999999E-2</v>
      </c>
      <c r="Z9" s="1">
        <v>7.5099997000000002E-2</v>
      </c>
      <c r="AA9" s="1">
        <v>7.0900001000000004E-2</v>
      </c>
      <c r="AB9" s="1">
        <v>7.5199999000000003E-2</v>
      </c>
      <c r="AC9" s="1">
        <v>7.1000002000000006E-2</v>
      </c>
      <c r="AD9" s="1">
        <v>7.6899997999999997E-2</v>
      </c>
      <c r="AE9" s="1">
        <v>7.2899996999999994E-2</v>
      </c>
      <c r="AF9" s="1">
        <v>6.8199999999999997E-2</v>
      </c>
      <c r="AG9" s="1">
        <v>7.5900002999999994E-2</v>
      </c>
      <c r="AH9" s="1">
        <v>7.7799997999999995E-2</v>
      </c>
      <c r="AI9" s="1">
        <v>7.9899997E-2</v>
      </c>
      <c r="AJ9" s="1">
        <v>7.8400000999999997E-2</v>
      </c>
      <c r="AK9" s="1">
        <v>7.9599999000000005E-2</v>
      </c>
      <c r="AL9" s="1">
        <v>8.6999996999999996E-2</v>
      </c>
      <c r="AM9" s="1">
        <v>9.2799998999999994E-2</v>
      </c>
    </row>
    <row r="10" spans="1:39" x14ac:dyDescent="0.2">
      <c r="A10" s="1" t="s">
        <v>20</v>
      </c>
      <c r="J10" s="1">
        <v>4.9199998000000002E-2</v>
      </c>
      <c r="K10" s="1">
        <v>5.1899999000000002E-2</v>
      </c>
      <c r="L10" s="1">
        <v>5.4699998E-2</v>
      </c>
      <c r="M10" s="1">
        <v>6.0899999000000003E-2</v>
      </c>
      <c r="N10" s="1">
        <v>6.8199999999999997E-2</v>
      </c>
      <c r="O10" s="1">
        <v>7.5900002999999994E-2</v>
      </c>
      <c r="P10" s="1">
        <v>8.7999999999999995E-2</v>
      </c>
      <c r="Q10" s="1">
        <v>0.1115</v>
      </c>
      <c r="R10" s="1">
        <v>0.10539999999999999</v>
      </c>
      <c r="S10" s="1">
        <v>0.1105</v>
      </c>
      <c r="T10" s="1">
        <v>0.1137</v>
      </c>
      <c r="U10" s="1">
        <v>0.10920000000000001</v>
      </c>
      <c r="V10" s="1">
        <v>0.11269999999999999</v>
      </c>
      <c r="W10" s="1">
        <v>0.1042</v>
      </c>
      <c r="X10" s="1">
        <v>0.10580000000000001</v>
      </c>
      <c r="Y10" s="1">
        <v>0.10879999999999999</v>
      </c>
      <c r="Z10" s="1">
        <v>0.10829999999999999</v>
      </c>
      <c r="AA10" s="1">
        <v>0.111</v>
      </c>
      <c r="AB10" s="1">
        <v>9.2399998999999997E-2</v>
      </c>
      <c r="AC10" s="1">
        <v>0.10299999999999999</v>
      </c>
      <c r="AD10" s="1">
        <v>0.10050000000000001</v>
      </c>
      <c r="AE10" s="1">
        <v>9.3000001999999998E-2</v>
      </c>
      <c r="AF10" s="1">
        <v>7.9899997E-2</v>
      </c>
      <c r="AG10" s="1">
        <v>9.7900002999999999E-2</v>
      </c>
      <c r="AH10" s="1">
        <v>0.1017</v>
      </c>
      <c r="AI10" s="1">
        <v>0.10249999999999999</v>
      </c>
      <c r="AJ10" s="1">
        <v>0.1048</v>
      </c>
      <c r="AK10" s="1">
        <v>0.1027</v>
      </c>
      <c r="AL10" s="1">
        <v>9.7400001999999999E-2</v>
      </c>
      <c r="AM10" s="1">
        <v>0.109</v>
      </c>
    </row>
    <row r="11" spans="1:39" x14ac:dyDescent="0.2">
      <c r="A11" s="1" t="s">
        <v>21</v>
      </c>
      <c r="J11" s="1">
        <v>4.4900000000000002E-2</v>
      </c>
      <c r="K11" s="1">
        <v>5.3300001E-2</v>
      </c>
      <c r="L11" s="1">
        <v>6.1400000000000003E-2</v>
      </c>
      <c r="M11" s="1">
        <v>6.8700000999999997E-2</v>
      </c>
      <c r="N11" s="1">
        <v>8.0499999000000003E-2</v>
      </c>
      <c r="O11" s="1">
        <v>8.9100002999999997E-2</v>
      </c>
      <c r="P11" s="1">
        <v>9.0899995999999997E-2</v>
      </c>
      <c r="Q11" s="1">
        <v>8.3400004E-2</v>
      </c>
      <c r="R11" s="1">
        <v>8.2800000999999998E-2</v>
      </c>
      <c r="S11" s="1">
        <v>8.0300002999999995E-2</v>
      </c>
      <c r="T11" s="1">
        <v>7.4900000999999994E-2</v>
      </c>
      <c r="U11" s="1">
        <v>7.5000002999999996E-2</v>
      </c>
      <c r="V11" s="1">
        <v>7.7299996999999995E-2</v>
      </c>
      <c r="W11" s="1">
        <v>8.0300002999999995E-2</v>
      </c>
      <c r="X11" s="1">
        <v>7.4900000999999994E-2</v>
      </c>
      <c r="Y11" s="1">
        <v>8.3899997000000004E-2</v>
      </c>
      <c r="Z11" s="1">
        <v>8.4600001999999994E-2</v>
      </c>
      <c r="AA11" s="1">
        <v>9.1600001E-2</v>
      </c>
      <c r="AB11" s="1">
        <v>8.3499998000000006E-2</v>
      </c>
      <c r="AC11" s="1">
        <v>0.1118</v>
      </c>
      <c r="AD11" s="1">
        <v>0.1139</v>
      </c>
      <c r="AE11" s="1">
        <v>0.1075</v>
      </c>
      <c r="AF11" s="1">
        <v>8.8699996000000003E-2</v>
      </c>
      <c r="AG11" s="1">
        <v>9.1300003000000005E-2</v>
      </c>
      <c r="AH11" s="1">
        <v>0.11070000000000001</v>
      </c>
      <c r="AI11" s="1">
        <v>0.1105</v>
      </c>
      <c r="AJ11" s="1">
        <v>0.1376</v>
      </c>
      <c r="AK11" s="1">
        <v>0.1018</v>
      </c>
      <c r="AL11" s="1">
        <v>9.5899999E-2</v>
      </c>
      <c r="AM11" s="1">
        <v>0.10390000000000001</v>
      </c>
    </row>
    <row r="12" spans="1:39" x14ac:dyDescent="0.2">
      <c r="A12" s="1" t="s">
        <v>16</v>
      </c>
      <c r="J12" s="1">
        <v>5.5300001000000001E-2</v>
      </c>
      <c r="K12" s="1">
        <v>6.1500001999999998E-2</v>
      </c>
      <c r="L12" s="1">
        <v>6.7400001000000001E-2</v>
      </c>
      <c r="M12" s="1">
        <v>7.4800000000000005E-2</v>
      </c>
      <c r="N12" s="1">
        <v>8.2999997000000006E-2</v>
      </c>
      <c r="O12" s="1">
        <v>8.2000002000000002E-2</v>
      </c>
      <c r="P12" s="1">
        <v>8.6099996999999998E-2</v>
      </c>
      <c r="Q12" s="1">
        <v>8.9299999000000005E-2</v>
      </c>
      <c r="R12" s="1">
        <v>9.0200000000000002E-2</v>
      </c>
      <c r="S12" s="1">
        <v>9.3199998000000006E-2</v>
      </c>
      <c r="T12" s="1">
        <v>9.1799996999999994E-2</v>
      </c>
      <c r="U12" s="1">
        <v>8.8200002999999999E-2</v>
      </c>
      <c r="V12" s="1">
        <v>9.0599999000000001E-2</v>
      </c>
      <c r="W12" s="1">
        <v>8.9500002999999995E-2</v>
      </c>
      <c r="X12" s="1">
        <v>9.2799998999999994E-2</v>
      </c>
      <c r="Y12" s="1">
        <v>9.5700003000000006E-2</v>
      </c>
      <c r="Z12" s="1">
        <v>8.8900000000000007E-2</v>
      </c>
      <c r="AA12" s="1">
        <v>9.5299995999999998E-2</v>
      </c>
      <c r="AB12" s="1">
        <v>9.7599997999999993E-2</v>
      </c>
      <c r="AC12" s="1">
        <v>9.4599999000000004E-2</v>
      </c>
      <c r="AD12" s="1">
        <v>9.8800003999999997E-2</v>
      </c>
      <c r="AE12" s="1">
        <v>9.6900000999999999E-2</v>
      </c>
      <c r="AF12" s="1">
        <v>9.2699997000000006E-2</v>
      </c>
      <c r="AG12" s="1">
        <v>9.1499998999999999E-2</v>
      </c>
      <c r="AH12" s="1">
        <v>9.4099998000000004E-2</v>
      </c>
      <c r="AI12" s="1">
        <v>9.3800000999999994E-2</v>
      </c>
      <c r="AJ12" s="1">
        <v>9.3699999000000006E-2</v>
      </c>
      <c r="AK12" s="1">
        <v>9.5100001000000003E-2</v>
      </c>
      <c r="AL12" s="1">
        <v>0.1009</v>
      </c>
      <c r="AM12" s="1">
        <v>9.9299997000000001E-2</v>
      </c>
    </row>
    <row r="13" spans="1:39" x14ac:dyDescent="0.2">
      <c r="A13" s="1" t="s">
        <v>24</v>
      </c>
      <c r="L13" s="1">
        <v>5.6200000999999999E-2</v>
      </c>
      <c r="M13" s="1">
        <v>5.8600000999999999E-2</v>
      </c>
      <c r="N13" s="1">
        <v>6.1400000000000003E-2</v>
      </c>
      <c r="O13" s="1">
        <v>6.4599998000000006E-2</v>
      </c>
      <c r="P13" s="1">
        <v>6.8199999999999997E-2</v>
      </c>
      <c r="Q13" s="1">
        <v>7.2300002000000002E-2</v>
      </c>
      <c r="R13" s="1">
        <v>7.3899998999999994E-2</v>
      </c>
      <c r="S13" s="1">
        <v>7.5300001000000005E-2</v>
      </c>
      <c r="T13" s="1">
        <v>7.7500000999999999E-2</v>
      </c>
      <c r="U13" s="1">
        <v>7.6899997999999997E-2</v>
      </c>
      <c r="V13" s="1">
        <v>7.9599999000000005E-2</v>
      </c>
      <c r="W13" s="1">
        <v>8.3499998000000006E-2</v>
      </c>
      <c r="X13" s="1">
        <v>8.3400004E-2</v>
      </c>
      <c r="Y13" s="1">
        <v>8.2400002E-2</v>
      </c>
      <c r="Z13" s="1">
        <v>7.8299998999999995E-2</v>
      </c>
      <c r="AA13" s="1">
        <v>7.5499996999999999E-2</v>
      </c>
      <c r="AB13" s="1">
        <v>7.2499997999999996E-2</v>
      </c>
      <c r="AC13" s="1">
        <v>7.0500001000000007E-2</v>
      </c>
      <c r="AD13" s="1">
        <v>7.7799997999999995E-2</v>
      </c>
      <c r="AE13" s="1">
        <v>7.8500002999999999E-2</v>
      </c>
      <c r="AF13" s="1">
        <v>7.8299998999999995E-2</v>
      </c>
      <c r="AG13" s="1">
        <v>8.1100002000000004E-2</v>
      </c>
      <c r="AH13" s="1">
        <v>7.9200000000000007E-2</v>
      </c>
      <c r="AI13" s="1">
        <v>8.2999997000000006E-2</v>
      </c>
      <c r="AJ13" s="1">
        <v>8.2500003000000002E-2</v>
      </c>
      <c r="AK13" s="1">
        <v>8.3499998000000006E-2</v>
      </c>
      <c r="AL13" s="1">
        <v>8.3999999000000006E-2</v>
      </c>
      <c r="AM13" s="1">
        <v>8.5100002999999994E-2</v>
      </c>
    </row>
    <row r="14" spans="1:39" x14ac:dyDescent="0.2">
      <c r="A14" s="1" t="s">
        <v>55</v>
      </c>
      <c r="E14" s="1">
        <v>5.5899999999999998E-2</v>
      </c>
      <c r="F14" s="1">
        <v>5.9599999000000001E-2</v>
      </c>
      <c r="G14" s="1">
        <v>5.6600000999999997E-2</v>
      </c>
      <c r="H14" s="1">
        <v>5.3800002E-2</v>
      </c>
      <c r="I14" s="1">
        <v>5.9599999000000001E-2</v>
      </c>
      <c r="J14" s="1">
        <v>5.3499999999999999E-2</v>
      </c>
      <c r="K14" s="1">
        <v>5.2299999E-2</v>
      </c>
      <c r="L14" s="1">
        <v>5.1199999000000003E-2</v>
      </c>
      <c r="M14" s="1">
        <v>5.5500001E-2</v>
      </c>
      <c r="N14" s="1">
        <v>5.9999998999999998E-2</v>
      </c>
      <c r="O14" s="1">
        <v>6.4800001999999995E-2</v>
      </c>
      <c r="P14" s="1">
        <v>6.9899999000000004E-2</v>
      </c>
      <c r="Q14" s="1">
        <v>7.5599998000000002E-2</v>
      </c>
      <c r="R14" s="1">
        <v>7.7799997999999995E-2</v>
      </c>
      <c r="S14" s="1">
        <v>7.3299997000000006E-2</v>
      </c>
      <c r="T14" s="1">
        <v>7.7699997000000007E-2</v>
      </c>
      <c r="U14" s="1">
        <v>7.4299999000000005E-2</v>
      </c>
      <c r="V14" s="1">
        <v>7.6600000000000001E-2</v>
      </c>
      <c r="W14" s="1">
        <v>8.4299996000000002E-2</v>
      </c>
      <c r="X14" s="1">
        <v>7.1800001000000002E-2</v>
      </c>
      <c r="Y14" s="1">
        <v>7.2300002000000002E-2</v>
      </c>
      <c r="Z14" s="1">
        <v>7.0200003999999996E-2</v>
      </c>
      <c r="AA14" s="1">
        <v>6.8599998999999995E-2</v>
      </c>
      <c r="AB14" s="1">
        <v>6.8599998999999995E-2</v>
      </c>
      <c r="AC14" s="1">
        <v>6.5700001999999993E-2</v>
      </c>
      <c r="AD14" s="1">
        <v>7.0600002999999995E-2</v>
      </c>
      <c r="AE14" s="1">
        <v>7.1099996999999998E-2</v>
      </c>
      <c r="AF14" s="1">
        <v>7.0200003999999996E-2</v>
      </c>
      <c r="AG14" s="1">
        <v>7.0299998000000002E-2</v>
      </c>
      <c r="AH14" s="1">
        <v>7.0500001000000007E-2</v>
      </c>
      <c r="AI14" s="1">
        <v>7.3600001999999998E-2</v>
      </c>
      <c r="AJ14" s="1">
        <v>7.1500003000000006E-2</v>
      </c>
      <c r="AK14" s="1">
        <v>7.4900000999999994E-2</v>
      </c>
      <c r="AL14" s="1">
        <v>7.5499996999999999E-2</v>
      </c>
      <c r="AM14" s="1">
        <v>7.6600000000000001E-2</v>
      </c>
    </row>
    <row r="15" spans="1:39" x14ac:dyDescent="0.2">
      <c r="A15" s="1" t="s">
        <v>11</v>
      </c>
      <c r="E15" s="1">
        <v>4.1999999000000003E-2</v>
      </c>
      <c r="F15" s="1">
        <v>4.7200001999999998E-2</v>
      </c>
      <c r="G15" s="1">
        <v>4.1599999999999998E-2</v>
      </c>
      <c r="H15" s="1">
        <v>4.1599999999999998E-2</v>
      </c>
      <c r="I15" s="1">
        <v>4.2800001999999997E-2</v>
      </c>
      <c r="J15" s="1">
        <v>4.1200001E-2</v>
      </c>
      <c r="K15" s="1">
        <v>4.3900002E-2</v>
      </c>
      <c r="L15" s="1">
        <v>5.4099999000000003E-2</v>
      </c>
      <c r="M15" s="1">
        <v>6.4599998000000006E-2</v>
      </c>
      <c r="N15" s="1">
        <v>7.6499998999999999E-2</v>
      </c>
      <c r="O15" s="1">
        <v>8.3400004E-2</v>
      </c>
      <c r="P15" s="1">
        <v>9.9699995999999999E-2</v>
      </c>
      <c r="Q15" s="1">
        <v>0.11360000000000001</v>
      </c>
      <c r="R15" s="1">
        <v>9.1700003000000002E-2</v>
      </c>
      <c r="S15" s="1">
        <v>9.8300002999999997E-2</v>
      </c>
      <c r="T15" s="1">
        <v>0.10829999999999999</v>
      </c>
      <c r="U15" s="1">
        <v>0.1041</v>
      </c>
      <c r="V15" s="1">
        <v>0.1016</v>
      </c>
      <c r="W15" s="1">
        <v>9.9500000000000005E-2</v>
      </c>
      <c r="X15" s="1">
        <v>0.104</v>
      </c>
      <c r="Y15" s="1">
        <v>9.9299997000000001E-2</v>
      </c>
      <c r="Z15" s="1">
        <v>0.1227</v>
      </c>
      <c r="AA15" s="1">
        <v>0.12899999000000001</v>
      </c>
      <c r="AB15" s="1">
        <v>0.13539999999999999</v>
      </c>
      <c r="AC15" s="1">
        <v>0.14699999999999999</v>
      </c>
      <c r="AD15" s="1">
        <v>0.1409</v>
      </c>
      <c r="AE15" s="1">
        <v>0.12819999000000001</v>
      </c>
      <c r="AF15" s="1">
        <v>0.12690000000000001</v>
      </c>
      <c r="AG15" s="1">
        <v>0.13109999999999999</v>
      </c>
      <c r="AH15" s="1">
        <v>0.13259999</v>
      </c>
      <c r="AI15" s="1">
        <v>0.13220000000000001</v>
      </c>
      <c r="AJ15" s="1">
        <v>0.1366</v>
      </c>
      <c r="AK15" s="1">
        <v>0.13980000000000001</v>
      </c>
      <c r="AL15" s="1">
        <v>0.13900000000000001</v>
      </c>
      <c r="AM15" s="1">
        <v>0.1399</v>
      </c>
    </row>
    <row r="16" spans="1:39" x14ac:dyDescent="0.2">
      <c r="A16" s="1" t="s">
        <v>17</v>
      </c>
      <c r="K16" s="1">
        <v>5.04E-2</v>
      </c>
      <c r="L16" s="1">
        <v>5.4299999000000002E-2</v>
      </c>
      <c r="M16" s="1">
        <v>6.0800000999999999E-2</v>
      </c>
      <c r="N16" s="1">
        <v>6.3299998999999996E-2</v>
      </c>
      <c r="O16" s="1">
        <v>7.0799999000000002E-2</v>
      </c>
      <c r="P16" s="1">
        <v>7.4199997000000004E-2</v>
      </c>
      <c r="Q16" s="1">
        <v>8.2299999999999998E-2</v>
      </c>
      <c r="R16" s="1">
        <v>8.1799998999999998E-2</v>
      </c>
      <c r="S16" s="1">
        <v>9.3900002999999996E-2</v>
      </c>
      <c r="T16" s="1">
        <v>9.4999999000000002E-2</v>
      </c>
      <c r="U16" s="1">
        <v>9.8899998000000003E-2</v>
      </c>
      <c r="V16" s="1">
        <v>9.4999999000000002E-2</v>
      </c>
      <c r="W16" s="1">
        <v>9.0899995999999997E-2</v>
      </c>
      <c r="X16" s="1">
        <v>0.1071</v>
      </c>
      <c r="Y16" s="1">
        <v>0.1225</v>
      </c>
      <c r="Z16" s="1">
        <v>0.1186</v>
      </c>
      <c r="AA16" s="1">
        <v>0.1139</v>
      </c>
      <c r="AB16" s="1">
        <v>0.1235</v>
      </c>
      <c r="AC16" s="1">
        <v>0.1517</v>
      </c>
      <c r="AD16" s="1">
        <v>0.153</v>
      </c>
      <c r="AE16" s="1">
        <v>0.15390000000000001</v>
      </c>
      <c r="AF16" s="1">
        <v>0.1195</v>
      </c>
      <c r="AG16" s="1">
        <v>0.11559999999999999</v>
      </c>
      <c r="AH16" s="1">
        <v>0.13289999999999999</v>
      </c>
      <c r="AI16" s="1">
        <v>0.1231</v>
      </c>
      <c r="AJ16" s="1">
        <v>0.15379999999999999</v>
      </c>
      <c r="AK16" s="1">
        <v>0.15880000999999999</v>
      </c>
      <c r="AL16" s="1">
        <v>0.15740000000000001</v>
      </c>
      <c r="AM16" s="1">
        <v>0.15240000000000001</v>
      </c>
    </row>
    <row r="17" spans="1:39" x14ac:dyDescent="0.2">
      <c r="A17" s="1" t="s">
        <v>38</v>
      </c>
      <c r="B17" s="1">
        <v>3.4499999000000003E-2</v>
      </c>
      <c r="G17" s="1">
        <v>4.3799999999999999E-2</v>
      </c>
      <c r="J17" s="1">
        <v>4.8099997999999998E-2</v>
      </c>
      <c r="K17" s="1">
        <v>5.4000000999999999E-2</v>
      </c>
      <c r="L17" s="1">
        <v>7.3399997999999994E-2</v>
      </c>
      <c r="M17" s="1">
        <v>8.3899997000000004E-2</v>
      </c>
      <c r="N17" s="1">
        <v>0.1011</v>
      </c>
      <c r="O17" s="1">
        <v>0.1114</v>
      </c>
      <c r="P17" s="1">
        <v>0.1183</v>
      </c>
      <c r="Q17" s="1">
        <v>0.14030001</v>
      </c>
      <c r="R17" s="1">
        <v>0.15840000000000001</v>
      </c>
      <c r="S17" s="1">
        <v>0.152</v>
      </c>
      <c r="T17" s="1">
        <v>0.15140000000000001</v>
      </c>
      <c r="U17" s="1">
        <v>0.18099999</v>
      </c>
      <c r="V17" s="1">
        <v>0.2069</v>
      </c>
      <c r="W17" s="1">
        <v>0.24560000000000001</v>
      </c>
      <c r="X17" s="1">
        <v>0.24490000000000001</v>
      </c>
      <c r="Y17" s="1">
        <v>0.24279999999999999</v>
      </c>
      <c r="Z17" s="1">
        <v>0.22759999</v>
      </c>
      <c r="AA17" s="1">
        <v>0.24909999999999999</v>
      </c>
      <c r="AB17" s="1">
        <v>0.25420000999999998</v>
      </c>
      <c r="AC17" s="1">
        <v>0.26910001</v>
      </c>
      <c r="AD17" s="1">
        <v>0.25080001000000002</v>
      </c>
      <c r="AE17" s="1">
        <v>0.21179998999999999</v>
      </c>
      <c r="AF17" s="1">
        <v>0.20029999000000001</v>
      </c>
      <c r="AG17" s="1">
        <v>0.21479999999999999</v>
      </c>
      <c r="AH17" s="1">
        <v>0.19840000999999999</v>
      </c>
      <c r="AI17" s="1">
        <v>0.21080001000000001</v>
      </c>
      <c r="AJ17" s="1">
        <v>0.20389999</v>
      </c>
      <c r="AK17" s="1">
        <v>0.2024</v>
      </c>
    </row>
    <row r="18" spans="1:39" x14ac:dyDescent="0.2">
      <c r="A18" s="1" t="s">
        <v>19</v>
      </c>
      <c r="L18" s="1">
        <v>8.5000001000000006E-2</v>
      </c>
      <c r="M18" s="1">
        <v>8.6499995999999996E-2</v>
      </c>
      <c r="N18" s="1">
        <v>8.7899997999999993E-2</v>
      </c>
      <c r="O18" s="1">
        <v>8.9400001000000007E-2</v>
      </c>
      <c r="P18" s="1">
        <v>9.0800002000000005E-2</v>
      </c>
      <c r="Q18" s="1">
        <v>9.2500000999999998E-2</v>
      </c>
      <c r="R18" s="1">
        <v>9.3500002999999998E-2</v>
      </c>
      <c r="S18" s="1">
        <v>9.4599999000000004E-2</v>
      </c>
      <c r="T18" s="1">
        <v>9.5200002000000006E-2</v>
      </c>
      <c r="U18" s="1">
        <v>9.9200002999999995E-2</v>
      </c>
      <c r="V18" s="1">
        <v>0.105</v>
      </c>
      <c r="W18" s="1">
        <v>0.10920000000000001</v>
      </c>
      <c r="X18" s="1">
        <v>0.10979999999999999</v>
      </c>
      <c r="Y18" s="1">
        <v>0.10920000000000001</v>
      </c>
      <c r="Z18" s="1">
        <v>0.11260000000000001</v>
      </c>
      <c r="AA18" s="1">
        <v>0.1128</v>
      </c>
      <c r="AB18" s="1">
        <v>0.11409999999999999</v>
      </c>
      <c r="AC18" s="1">
        <v>0.10829999999999999</v>
      </c>
      <c r="AD18" s="1">
        <v>0.1099</v>
      </c>
      <c r="AE18" s="1">
        <v>0.1103</v>
      </c>
      <c r="AF18" s="1">
        <v>0.113</v>
      </c>
      <c r="AG18" s="1">
        <v>0.1173</v>
      </c>
      <c r="AH18" s="1">
        <v>0.1095</v>
      </c>
      <c r="AI18" s="1">
        <v>0.1105</v>
      </c>
      <c r="AJ18" s="1">
        <v>0.13200000000000001</v>
      </c>
      <c r="AK18" s="1">
        <v>0.1278</v>
      </c>
      <c r="AL18" s="1">
        <v>0.12790000000000001</v>
      </c>
      <c r="AM18" s="1">
        <v>0.12800001</v>
      </c>
    </row>
    <row r="19" spans="1:39" x14ac:dyDescent="0.2">
      <c r="A19" s="1" t="s">
        <v>56</v>
      </c>
      <c r="B19" s="1">
        <v>4.0300000000000002E-2</v>
      </c>
      <c r="C19" s="1">
        <v>3.9900000999999997E-2</v>
      </c>
      <c r="D19" s="1">
        <v>3.9600000000000003E-2</v>
      </c>
      <c r="E19" s="1">
        <v>3.9399999999999998E-2</v>
      </c>
      <c r="F19" s="1">
        <v>3.9500001999999999E-2</v>
      </c>
      <c r="G19" s="1">
        <v>3.9299998000000003E-2</v>
      </c>
      <c r="H19" s="1">
        <v>4.0600002000000003E-2</v>
      </c>
      <c r="I19" s="1">
        <v>4.2100000999999998E-2</v>
      </c>
      <c r="J19" s="1">
        <v>4.3400001000000001E-2</v>
      </c>
      <c r="K19" s="1">
        <v>4.58E-2</v>
      </c>
      <c r="L19" s="1">
        <v>4.8300002000000002E-2</v>
      </c>
      <c r="M19" s="1">
        <v>5.3300001E-2</v>
      </c>
      <c r="N19" s="1">
        <v>5.5399998999999998E-2</v>
      </c>
      <c r="O19" s="1">
        <v>5.6400000999999998E-2</v>
      </c>
      <c r="P19" s="1">
        <v>5.9999998999999998E-2</v>
      </c>
      <c r="Q19" s="1">
        <v>6.0600001000000001E-2</v>
      </c>
      <c r="R19" s="1">
        <v>6.2399997999999998E-2</v>
      </c>
      <c r="S19" s="1">
        <v>5.9799999E-2</v>
      </c>
      <c r="T19" s="1">
        <v>6.2799997999999996E-2</v>
      </c>
      <c r="U19" s="1">
        <v>6.2300000000000001E-2</v>
      </c>
      <c r="V19" s="1">
        <v>6.6100001000000005E-2</v>
      </c>
      <c r="W19" s="1">
        <v>7.0400000000000004E-2</v>
      </c>
      <c r="X19" s="1">
        <v>6.9099999999999995E-2</v>
      </c>
      <c r="Y19" s="1">
        <v>7.3899998999999994E-2</v>
      </c>
      <c r="Z19" s="1">
        <v>8.6599997999999997E-2</v>
      </c>
      <c r="AA19" s="1">
        <v>7.5800002000000005E-2</v>
      </c>
      <c r="AB19" s="1">
        <v>6.5600000000000006E-2</v>
      </c>
      <c r="AC19" s="1">
        <v>5.5199999E-2</v>
      </c>
      <c r="AD19" s="1">
        <v>5.2099999000000001E-2</v>
      </c>
      <c r="AE19" s="1">
        <v>6.8499997000000007E-2</v>
      </c>
      <c r="AF19" s="1">
        <v>6.9399998000000004E-2</v>
      </c>
      <c r="AG19" s="1">
        <v>4.5499998999999999E-2</v>
      </c>
      <c r="AH19" s="1">
        <v>4.4500000999999997E-2</v>
      </c>
      <c r="AI19" s="1">
        <v>6.8199999999999997E-2</v>
      </c>
      <c r="AJ19" s="1">
        <v>4.7300000000000002E-2</v>
      </c>
      <c r="AK19" s="1">
        <v>5.1600001999999999E-2</v>
      </c>
      <c r="AL19" s="1">
        <v>5.2400000000000002E-2</v>
      </c>
      <c r="AM19" s="1">
        <v>5.3300001E-2</v>
      </c>
    </row>
    <row r="20" spans="1:39" x14ac:dyDescent="0.2">
      <c r="A20" s="1" t="s">
        <v>6</v>
      </c>
      <c r="M20" s="1">
        <v>4.2199999000000002E-2</v>
      </c>
      <c r="N20" s="1">
        <v>4.8000000000000001E-2</v>
      </c>
      <c r="O20" s="1">
        <v>5.6800000000000003E-2</v>
      </c>
      <c r="P20" s="1">
        <v>5.9599999000000001E-2</v>
      </c>
      <c r="Q20" s="1">
        <v>6.4900002999999998E-2</v>
      </c>
      <c r="R20" s="1">
        <v>6.6900000000000001E-2</v>
      </c>
      <c r="S20" s="1">
        <v>7.0500001000000007E-2</v>
      </c>
      <c r="T20" s="1">
        <v>7.2999998999999996E-2</v>
      </c>
      <c r="U20" s="1">
        <v>7.8799999999999995E-2</v>
      </c>
      <c r="V20" s="1">
        <v>7.3299997000000006E-2</v>
      </c>
      <c r="W20" s="1">
        <v>6.9300002999999999E-2</v>
      </c>
      <c r="X20" s="1">
        <v>7.1699999E-2</v>
      </c>
      <c r="Y20" s="1">
        <v>7.7799997999999995E-2</v>
      </c>
      <c r="Z20" s="1">
        <v>7.8299998999999995E-2</v>
      </c>
      <c r="AA20" s="1">
        <v>7.6899997999999997E-2</v>
      </c>
      <c r="AB20" s="1">
        <v>7.9899997E-2</v>
      </c>
      <c r="AC20" s="1">
        <v>8.2599997999999994E-2</v>
      </c>
      <c r="AD20" s="1">
        <v>8.0499999000000003E-2</v>
      </c>
      <c r="AE20" s="1">
        <v>6.9799997000000003E-2</v>
      </c>
      <c r="AF20" s="1">
        <v>7.0500001000000007E-2</v>
      </c>
      <c r="AG20" s="1">
        <v>6.8099997999999995E-2</v>
      </c>
      <c r="AH20" s="1">
        <v>6.7799999999999999E-2</v>
      </c>
      <c r="AI20" s="1">
        <v>6.8700000999999997E-2</v>
      </c>
      <c r="AJ20" s="1">
        <v>7.5800002000000005E-2</v>
      </c>
      <c r="AK20" s="1">
        <v>7.0299998000000002E-2</v>
      </c>
      <c r="AL20" s="1">
        <v>7.1800001000000002E-2</v>
      </c>
      <c r="AM20" s="1">
        <v>7.6700002000000003E-2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C3555-53EE-1146-A2C4-1B4F54436304}">
  <dimension ref="A1:AD25"/>
  <sheetViews>
    <sheetView workbookViewId="0">
      <selection activeCell="B61" sqref="B61"/>
    </sheetView>
  </sheetViews>
  <sheetFormatPr baseColWidth="10" defaultRowHeight="16" x14ac:dyDescent="0.2"/>
  <cols>
    <col min="1" max="16384" width="10.83203125" style="1"/>
  </cols>
  <sheetData>
    <row r="1" spans="1:30" x14ac:dyDescent="0.2">
      <c r="B1" s="1">
        <v>1990</v>
      </c>
      <c r="C1" s="1">
        <v>1991</v>
      </c>
      <c r="D1" s="1">
        <v>1992</v>
      </c>
      <c r="E1" s="1">
        <v>1993</v>
      </c>
      <c r="F1" s="1">
        <v>1994</v>
      </c>
      <c r="G1" s="1">
        <v>1995</v>
      </c>
      <c r="H1" s="1">
        <v>1996</v>
      </c>
      <c r="I1" s="1">
        <v>1997</v>
      </c>
      <c r="J1" s="1">
        <v>1998</v>
      </c>
      <c r="K1" s="1">
        <v>1999</v>
      </c>
      <c r="L1" s="1">
        <v>2000</v>
      </c>
      <c r="M1" s="1">
        <v>2001</v>
      </c>
      <c r="N1" s="1">
        <v>2002</v>
      </c>
      <c r="O1" s="1">
        <v>2003</v>
      </c>
      <c r="P1" s="1">
        <v>2004</v>
      </c>
      <c r="Q1" s="1">
        <v>2005</v>
      </c>
      <c r="R1" s="1">
        <v>2006</v>
      </c>
      <c r="S1" s="1">
        <v>2007</v>
      </c>
      <c r="T1" s="1">
        <v>2008</v>
      </c>
      <c r="U1" s="1">
        <v>2009</v>
      </c>
      <c r="V1" s="1">
        <v>2010</v>
      </c>
      <c r="W1" s="1">
        <v>2011</v>
      </c>
      <c r="X1" s="1">
        <v>2012</v>
      </c>
      <c r="Y1" s="1">
        <v>2013</v>
      </c>
      <c r="Z1" s="1">
        <v>2014</v>
      </c>
      <c r="AA1" s="1">
        <v>2015</v>
      </c>
      <c r="AB1" s="1">
        <v>2016</v>
      </c>
      <c r="AC1" s="1">
        <v>2017</v>
      </c>
      <c r="AD1" s="1">
        <v>2018</v>
      </c>
    </row>
    <row r="2" spans="1:30" x14ac:dyDescent="0.2">
      <c r="A2" s="1" t="s">
        <v>27</v>
      </c>
      <c r="Q2" s="1">
        <v>9.3249015552053205</v>
      </c>
      <c r="R2" s="1">
        <v>9.5545177392086806</v>
      </c>
      <c r="S2" s="1">
        <v>9.330928214319739</v>
      </c>
      <c r="T2" s="1">
        <v>9.498554134548499</v>
      </c>
      <c r="V2" s="1">
        <v>10.121772122831191</v>
      </c>
      <c r="W2" s="1">
        <v>10.085926593827029</v>
      </c>
      <c r="X2" s="1">
        <v>10.2764406282151</v>
      </c>
      <c r="Y2" s="1">
        <v>10.95360652961833</v>
      </c>
      <c r="Z2" s="1">
        <v>11.404419149732629</v>
      </c>
      <c r="AA2" s="1">
        <v>11.094356873139091</v>
      </c>
      <c r="AB2" s="1">
        <v>11.17029205068599</v>
      </c>
    </row>
    <row r="3" spans="1:30" x14ac:dyDescent="0.2">
      <c r="A3" s="1" t="s">
        <v>23</v>
      </c>
      <c r="Y3" s="1">
        <v>7.297564323000894</v>
      </c>
    </row>
    <row r="4" spans="1:30" x14ac:dyDescent="0.2">
      <c r="A4" s="1" t="s">
        <v>29</v>
      </c>
      <c r="T4" s="1">
        <v>6.0816399748861416</v>
      </c>
      <c r="U4" s="1">
        <v>8.3322331924216702</v>
      </c>
      <c r="V4" s="1">
        <v>7.3549982338396367</v>
      </c>
      <c r="W4" s="1">
        <v>7.6139549172458798</v>
      </c>
      <c r="X4" s="1">
        <v>8.6013550417673628</v>
      </c>
      <c r="Y4" s="1">
        <v>8.2253961706369658</v>
      </c>
      <c r="Z4" s="1">
        <v>7.0586520848407392</v>
      </c>
      <c r="AA4" s="1">
        <v>7.5915777859507214</v>
      </c>
      <c r="AB4" s="1">
        <v>8.5627834082468883</v>
      </c>
    </row>
    <row r="5" spans="1:30" x14ac:dyDescent="0.2">
      <c r="A5" s="1" t="s">
        <v>3</v>
      </c>
      <c r="O5" s="1">
        <v>16.575459162340028</v>
      </c>
      <c r="P5" s="1">
        <v>16.1634416321263</v>
      </c>
      <c r="Q5" s="1">
        <v>16.351066821788631</v>
      </c>
      <c r="R5" s="1">
        <v>16.492936652074622</v>
      </c>
      <c r="S5" s="1">
        <v>16.910637851167081</v>
      </c>
      <c r="T5" s="1">
        <v>16.393447763631929</v>
      </c>
      <c r="U5" s="1">
        <v>16.681457626188191</v>
      </c>
      <c r="V5" s="1">
        <v>17.563629199967252</v>
      </c>
      <c r="W5" s="1">
        <v>14.126901983758909</v>
      </c>
      <c r="X5" s="1">
        <v>14.807236521457511</v>
      </c>
      <c r="Y5" s="1">
        <v>16.303470239910141</v>
      </c>
      <c r="Z5" s="1">
        <v>17.4099589199554</v>
      </c>
      <c r="AA5" s="1">
        <v>16.248570112582829</v>
      </c>
      <c r="AB5" s="1">
        <v>17.172362748212159</v>
      </c>
    </row>
    <row r="6" spans="1:30" x14ac:dyDescent="0.2">
      <c r="A6" s="1" t="s">
        <v>22</v>
      </c>
      <c r="B6" s="1">
        <v>16.597601698894628</v>
      </c>
      <c r="C6" s="1">
        <v>17.74843725086798</v>
      </c>
      <c r="D6" s="1">
        <v>18.424899368778661</v>
      </c>
      <c r="E6" s="1">
        <v>18.62202521697127</v>
      </c>
      <c r="F6" s="1">
        <v>16.21580275146847</v>
      </c>
      <c r="G6" s="1">
        <v>12.879887005136643</v>
      </c>
      <c r="H6" s="1">
        <v>11.567917380395652</v>
      </c>
      <c r="I6" s="1">
        <v>9.8065898549902322</v>
      </c>
      <c r="J6" s="1">
        <v>11.062760039492812</v>
      </c>
      <c r="K6" s="1">
        <v>12.231786081119163</v>
      </c>
      <c r="L6" s="1">
        <v>13.065543361905107</v>
      </c>
      <c r="M6" s="1">
        <v>13.045631886468659</v>
      </c>
      <c r="N6" s="1">
        <v>13.197367230054136</v>
      </c>
      <c r="O6" s="1">
        <v>12.924398928460224</v>
      </c>
      <c r="P6" s="1">
        <v>11.668745882952466</v>
      </c>
      <c r="Q6" s="1">
        <v>11.294683374554317</v>
      </c>
      <c r="R6" s="1">
        <v>11.517707785578084</v>
      </c>
      <c r="S6" s="1">
        <v>11.435892026812441</v>
      </c>
      <c r="T6" s="1">
        <v>12.130491473092899</v>
      </c>
      <c r="U6" s="1">
        <v>14.21168822759452</v>
      </c>
      <c r="V6" s="1">
        <v>13.830602415326615</v>
      </c>
      <c r="W6" s="1">
        <v>13.338783625863091</v>
      </c>
      <c r="X6" s="1">
        <v>13.346576400581156</v>
      </c>
      <c r="Y6" s="1">
        <v>14.866392177762449</v>
      </c>
      <c r="Z6" s="1">
        <v>15.010879394618891</v>
      </c>
      <c r="AA6" s="1">
        <v>15.381312844220361</v>
      </c>
      <c r="AB6" s="1">
        <v>14.645328489422489</v>
      </c>
    </row>
    <row r="7" spans="1:30" x14ac:dyDescent="0.2">
      <c r="A7" s="1" t="s">
        <v>12</v>
      </c>
      <c r="N7" s="1">
        <v>21.916975886524771</v>
      </c>
      <c r="O7" s="1">
        <v>19.315182881185301</v>
      </c>
      <c r="P7" s="1">
        <v>19.150100773059048</v>
      </c>
      <c r="Q7" s="1">
        <v>17.83219573130496</v>
      </c>
      <c r="R7" s="1">
        <v>18.227672124236769</v>
      </c>
      <c r="S7" s="1">
        <v>17.581957197924702</v>
      </c>
      <c r="T7" s="1">
        <v>17.28411641730094</v>
      </c>
      <c r="U7" s="1">
        <v>18.875375640905681</v>
      </c>
      <c r="V7" s="1">
        <v>18.618397474653868</v>
      </c>
      <c r="W7" s="1">
        <v>18.78508459937504</v>
      </c>
      <c r="X7" s="1">
        <v>18.820971749499698</v>
      </c>
      <c r="Y7" s="1">
        <v>18.80105580421051</v>
      </c>
      <c r="Z7" s="1">
        <v>19.559618661575751</v>
      </c>
      <c r="AA7" s="1">
        <v>17.97202428625274</v>
      </c>
      <c r="AB7" s="1">
        <v>16.78764241618682</v>
      </c>
    </row>
    <row r="8" spans="1:30" x14ac:dyDescent="0.2">
      <c r="A8" s="1" t="s">
        <v>5</v>
      </c>
      <c r="G8" s="1">
        <v>12.18237987149905</v>
      </c>
      <c r="H8" s="1">
        <v>12.764870414916491</v>
      </c>
      <c r="I8" s="1">
        <v>13.15059541283237</v>
      </c>
      <c r="J8" s="1">
        <v>13.168442439837349</v>
      </c>
      <c r="K8" s="1">
        <v>13.34265660668822</v>
      </c>
      <c r="L8" s="1">
        <v>13.637091476691701</v>
      </c>
      <c r="M8" s="1">
        <v>13.605060761769749</v>
      </c>
      <c r="N8" s="1">
        <v>14.003984123172231</v>
      </c>
      <c r="O8" s="1">
        <v>14.28894719650212</v>
      </c>
      <c r="P8" s="1">
        <v>13.408996213481769</v>
      </c>
      <c r="Q8" s="1">
        <v>13.069188904757871</v>
      </c>
      <c r="R8" s="1">
        <v>12.92644780599394</v>
      </c>
      <c r="S8" s="1">
        <v>12.889451024539103</v>
      </c>
      <c r="T8" s="1">
        <v>12.80728169682944</v>
      </c>
      <c r="U8" s="1">
        <v>14.127715461673318</v>
      </c>
      <c r="V8" s="1">
        <v>14.151674311741347</v>
      </c>
      <c r="W8" s="1">
        <v>14.085312568562074</v>
      </c>
      <c r="X8" s="1">
        <v>14.02656018160001</v>
      </c>
      <c r="Y8" s="1">
        <v>14.369878149242755</v>
      </c>
      <c r="Z8" s="1">
        <v>13.927709491586132</v>
      </c>
      <c r="AA8" s="1">
        <v>13.207825521788084</v>
      </c>
      <c r="AB8" s="1">
        <v>12.900824036963122</v>
      </c>
    </row>
    <row r="9" spans="1:30" x14ac:dyDescent="0.2">
      <c r="A9" s="1" t="s">
        <v>13</v>
      </c>
      <c r="G9" s="1">
        <v>11.34912555057603</v>
      </c>
      <c r="H9" s="1">
        <v>11.364532971293464</v>
      </c>
      <c r="I9" s="1">
        <v>10.678665659451948</v>
      </c>
      <c r="J9" s="1">
        <v>10.859833342496133</v>
      </c>
      <c r="K9" s="1">
        <v>12.129253045710088</v>
      </c>
      <c r="L9" s="1">
        <v>10.990700301143928</v>
      </c>
      <c r="M9" s="1">
        <v>10.430178727469588</v>
      </c>
      <c r="N9" s="1">
        <v>10.195034328392534</v>
      </c>
      <c r="O9" s="1">
        <v>10.197047657479796</v>
      </c>
      <c r="P9" s="1">
        <v>10.346513588046106</v>
      </c>
      <c r="Q9" s="1">
        <v>9.8425700416443629</v>
      </c>
      <c r="R9" s="1">
        <v>9.2916722281503752</v>
      </c>
      <c r="S9" s="1">
        <v>9.6934276657840801</v>
      </c>
      <c r="T9" s="1">
        <v>11.968177018191174</v>
      </c>
      <c r="U9" s="1">
        <v>15.387191788243856</v>
      </c>
      <c r="V9" s="1">
        <v>14.561575015693242</v>
      </c>
      <c r="W9" s="1">
        <v>12.986357046086615</v>
      </c>
      <c r="X9" s="1">
        <v>12.835477750231981</v>
      </c>
      <c r="Y9" s="1">
        <v>12.399262559113236</v>
      </c>
      <c r="Z9" s="1">
        <v>12.170967379072009</v>
      </c>
      <c r="AA9" s="1">
        <v>12.987062979797198</v>
      </c>
      <c r="AB9" s="1">
        <v>13.461094339674869</v>
      </c>
    </row>
    <row r="10" spans="1:30" x14ac:dyDescent="0.2">
      <c r="A10" s="1" t="s">
        <v>26</v>
      </c>
      <c r="O10" s="1">
        <v>5.4681752898728391</v>
      </c>
      <c r="P10" s="1">
        <v>7.5292896185987797</v>
      </c>
      <c r="Q10" s="1">
        <v>7.6602702004990997</v>
      </c>
      <c r="R10" s="1">
        <v>8.2567676342830705</v>
      </c>
      <c r="S10" s="1">
        <v>7.78401534677353</v>
      </c>
      <c r="T10" s="1">
        <v>8.9358266622629703</v>
      </c>
      <c r="U10" s="1">
        <v>9.2405717812286294</v>
      </c>
      <c r="V10" s="1">
        <v>9.4758307501699406</v>
      </c>
      <c r="W10" s="1">
        <v>9.2380432058955204</v>
      </c>
      <c r="X10" s="1">
        <v>8.5098577231888708</v>
      </c>
      <c r="Y10" s="1">
        <v>8.6377401079438094</v>
      </c>
      <c r="Z10" s="1">
        <v>9.2893775406939891</v>
      </c>
      <c r="AA10" s="1">
        <v>9.0623386111426001</v>
      </c>
      <c r="AB10" s="1">
        <v>9.1570301365032307</v>
      </c>
    </row>
    <row r="11" spans="1:30" x14ac:dyDescent="0.2">
      <c r="A11" s="1" t="s">
        <v>9</v>
      </c>
      <c r="G11" s="1">
        <v>18.32241677980781</v>
      </c>
      <c r="H11" s="1">
        <v>17.1534036535671</v>
      </c>
      <c r="I11" s="1">
        <v>16.191647624131161</v>
      </c>
      <c r="J11" s="1">
        <v>16.061499142492689</v>
      </c>
      <c r="K11" s="1">
        <v>15.99831697648883</v>
      </c>
      <c r="L11" s="1">
        <v>15.59125372638381</v>
      </c>
      <c r="M11" s="1">
        <v>15.160144532111856</v>
      </c>
      <c r="N11" s="1">
        <v>16.133902770062459</v>
      </c>
      <c r="O11" s="1">
        <v>16.419637724556864</v>
      </c>
      <c r="P11" s="1">
        <v>16.522130029629718</v>
      </c>
      <c r="Q11" s="1">
        <v>17.456870337962808</v>
      </c>
      <c r="R11" s="1">
        <v>18.32916498965637</v>
      </c>
      <c r="S11" s="1">
        <v>18.205310905898255</v>
      </c>
      <c r="T11" s="1">
        <v>18.331287143349346</v>
      </c>
      <c r="U11" s="1">
        <v>19.355695169547282</v>
      </c>
      <c r="V11" s="1">
        <v>18.050289739804828</v>
      </c>
      <c r="W11" s="1">
        <v>17.764423296034099</v>
      </c>
      <c r="X11" s="1">
        <v>17.558301527698902</v>
      </c>
      <c r="Y11" s="1">
        <v>17.216578091250611</v>
      </c>
      <c r="Z11" s="1">
        <v>16.29812140062381</v>
      </c>
      <c r="AA11" s="1">
        <v>15.871021368704039</v>
      </c>
      <c r="AB11" s="1">
        <v>15.175604029363736</v>
      </c>
    </row>
    <row r="12" spans="1:30" x14ac:dyDescent="0.2">
      <c r="A12" s="1" t="s">
        <v>7</v>
      </c>
      <c r="L12" s="1">
        <v>7.4299372053254329</v>
      </c>
      <c r="M12" s="1">
        <v>6.6808922556591943</v>
      </c>
      <c r="N12" s="1">
        <v>5.9885337595732562</v>
      </c>
      <c r="O12" s="1">
        <v>5.9361448403341335</v>
      </c>
      <c r="P12" s="1">
        <v>5.8157248880519603</v>
      </c>
      <c r="V12" s="1">
        <v>5.9957941454839698</v>
      </c>
      <c r="W12" s="1">
        <v>5.6948446957797803</v>
      </c>
      <c r="X12" s="1">
        <v>5.69453121488056</v>
      </c>
      <c r="Y12" s="1">
        <v>5.2710836286454699</v>
      </c>
      <c r="Z12" s="1">
        <v>5.6665015239043104</v>
      </c>
      <c r="AA12" s="1">
        <v>5.5871660887645804</v>
      </c>
      <c r="AB12" s="1">
        <v>6.0209277338861202</v>
      </c>
    </row>
    <row r="13" spans="1:30" x14ac:dyDescent="0.2">
      <c r="A13" s="1" t="s">
        <v>10</v>
      </c>
      <c r="AB13" s="1">
        <v>7.026722422528632</v>
      </c>
    </row>
    <row r="14" spans="1:30" x14ac:dyDescent="0.2">
      <c r="A14" s="1" t="s">
        <v>14</v>
      </c>
      <c r="Z14" s="1">
        <v>12.407940223711911</v>
      </c>
      <c r="AA14" s="1">
        <v>12.66656043098858</v>
      </c>
      <c r="AB14" s="1">
        <v>11.74764533585032</v>
      </c>
    </row>
    <row r="15" spans="1:30" x14ac:dyDescent="0.2">
      <c r="A15" s="1" t="s">
        <v>20</v>
      </c>
      <c r="G15" s="1">
        <v>12.871039286962022</v>
      </c>
      <c r="H15" s="1">
        <v>13.779660107560114</v>
      </c>
      <c r="I15" s="1">
        <v>13.366591770298035</v>
      </c>
      <c r="J15" s="1">
        <v>14.579794897478591</v>
      </c>
      <c r="K15" s="1">
        <v>16.47860990148326</v>
      </c>
      <c r="L15" s="1">
        <v>14.490346022099821</v>
      </c>
      <c r="M15" s="1">
        <v>13.270034943156389</v>
      </c>
      <c r="N15" s="1">
        <v>12.58323013239532</v>
      </c>
      <c r="O15" s="1">
        <v>11.602220702225761</v>
      </c>
      <c r="P15" s="1">
        <v>11.310166632695919</v>
      </c>
      <c r="Q15" s="1">
        <v>10.51956905928634</v>
      </c>
      <c r="R15" s="1">
        <v>10.26847972587761</v>
      </c>
      <c r="S15" s="1">
        <v>9.1673114004769207</v>
      </c>
      <c r="T15" s="1">
        <v>10.26929434995802</v>
      </c>
      <c r="U15" s="1">
        <v>15.057796171617419</v>
      </c>
      <c r="V15" s="1">
        <v>15.688585753881119</v>
      </c>
      <c r="W15" s="1">
        <v>13.527073775419259</v>
      </c>
      <c r="X15" s="1">
        <v>12.608647854248009</v>
      </c>
      <c r="Y15" s="1">
        <v>12.749254638265921</v>
      </c>
      <c r="Z15" s="1">
        <v>12.54170307226253</v>
      </c>
      <c r="AA15" s="1">
        <v>12.880787920262105</v>
      </c>
      <c r="AB15" s="1">
        <v>12.856895915166596</v>
      </c>
    </row>
    <row r="16" spans="1:30" x14ac:dyDescent="0.2">
      <c r="A16" s="1" t="s">
        <v>21</v>
      </c>
      <c r="G16" s="1">
        <v>10.42618888905948</v>
      </c>
      <c r="H16" s="1">
        <v>10.851948693664973</v>
      </c>
      <c r="I16" s="1">
        <v>11.392514755552554</v>
      </c>
      <c r="J16" s="1">
        <v>12.803077891859129</v>
      </c>
      <c r="K16" s="1">
        <v>13.564304874882987</v>
      </c>
      <c r="L16" s="1">
        <v>12.608765578013529</v>
      </c>
      <c r="M16" s="1">
        <v>11.64597555391169</v>
      </c>
      <c r="N16" s="1">
        <v>10.924503851441594</v>
      </c>
      <c r="O16" s="1">
        <v>10.493646660747244</v>
      </c>
      <c r="P16" s="1">
        <v>10.457505839520113</v>
      </c>
      <c r="Q16" s="1">
        <v>10.140945649370394</v>
      </c>
      <c r="R16" s="1">
        <v>10.084106691681916</v>
      </c>
      <c r="S16" s="1">
        <v>11.028567461719708</v>
      </c>
      <c r="T16" s="1">
        <v>12.518747544445539</v>
      </c>
      <c r="U16" s="1">
        <v>16.899221271973552</v>
      </c>
      <c r="V16" s="1">
        <v>14.638763992427483</v>
      </c>
      <c r="W16" s="1">
        <v>12.852832155146469</v>
      </c>
      <c r="X16" s="1">
        <v>12.352102316396675</v>
      </c>
      <c r="Y16" s="1">
        <v>11.655947545921952</v>
      </c>
      <c r="Z16" s="1">
        <v>11.832082016652633</v>
      </c>
      <c r="AA16" s="1">
        <v>11.472908772252941</v>
      </c>
      <c r="AB16" s="1">
        <v>11.591093234230689</v>
      </c>
    </row>
    <row r="17" spans="1:28" x14ac:dyDescent="0.2">
      <c r="A17" s="1" t="s">
        <v>16</v>
      </c>
      <c r="N17" s="1">
        <v>8.4196960074048022</v>
      </c>
      <c r="O17" s="1">
        <v>8.3849150206453906</v>
      </c>
      <c r="P17" s="1">
        <v>10.575686549303654</v>
      </c>
      <c r="Q17" s="1">
        <v>11.082576200572658</v>
      </c>
      <c r="R17" s="1">
        <v>12.812117147102201</v>
      </c>
      <c r="S17" s="1">
        <v>11.64038889659273</v>
      </c>
      <c r="T17" s="1">
        <v>11.285528579771924</v>
      </c>
      <c r="U17" s="1">
        <v>13.278037516321817</v>
      </c>
      <c r="V17" s="1">
        <v>12.899161189887757</v>
      </c>
      <c r="W17" s="1">
        <v>11.991052565934559</v>
      </c>
      <c r="X17" s="1">
        <v>11.798803854290536</v>
      </c>
      <c r="Y17" s="1">
        <v>11.602498891360941</v>
      </c>
      <c r="Z17" s="1">
        <v>11.718690798950082</v>
      </c>
      <c r="AA17" s="1">
        <v>11.49343489490175</v>
      </c>
      <c r="AB17" s="1">
        <v>11.44952272103118</v>
      </c>
    </row>
    <row r="18" spans="1:28" x14ac:dyDescent="0.2">
      <c r="A18" s="1" t="s">
        <v>11</v>
      </c>
      <c r="G18" s="1">
        <v>21.233199860388709</v>
      </c>
      <c r="H18" s="1">
        <v>20.861631518919552</v>
      </c>
      <c r="I18" s="1">
        <v>20.109703403413459</v>
      </c>
      <c r="J18" s="1">
        <v>18.98579451987084</v>
      </c>
      <c r="K18" s="1">
        <v>19.89939739082164</v>
      </c>
      <c r="L18" s="1">
        <v>19.118512368715859</v>
      </c>
      <c r="M18" s="1">
        <v>19.89009751350688</v>
      </c>
      <c r="N18" s="1">
        <v>19.968868150771122</v>
      </c>
      <c r="O18" s="1">
        <v>20.245173950563331</v>
      </c>
      <c r="P18" s="1">
        <v>18.789539855724399</v>
      </c>
      <c r="Q18" s="1">
        <v>18.266725736409761</v>
      </c>
      <c r="R18" s="1">
        <v>17.781526266287958</v>
      </c>
      <c r="S18" s="1">
        <v>16.374557660015792</v>
      </c>
      <c r="T18" s="1">
        <v>16.310086580100084</v>
      </c>
      <c r="U18" s="1">
        <v>17.05142369086898</v>
      </c>
      <c r="V18" s="1">
        <v>17.101874582655174</v>
      </c>
      <c r="W18" s="1">
        <v>16.346316902620671</v>
      </c>
      <c r="X18" s="1">
        <v>16.404500532948838</v>
      </c>
      <c r="Y18" s="1">
        <v>16.764786916253964</v>
      </c>
      <c r="Z18" s="1">
        <v>16.644908540306773</v>
      </c>
      <c r="AA18" s="1">
        <v>16.420878115633855</v>
      </c>
      <c r="AB18" s="1">
        <v>17.238502785109706</v>
      </c>
    </row>
    <row r="19" spans="1:28" x14ac:dyDescent="0.2">
      <c r="A19" s="1" t="s">
        <v>17</v>
      </c>
      <c r="G19" s="1">
        <v>12.36225469056116</v>
      </c>
      <c r="H19" s="1">
        <v>11.936479656733049</v>
      </c>
      <c r="I19" s="1">
        <v>12.176973640648541</v>
      </c>
      <c r="J19" s="1">
        <v>12.94636614394666</v>
      </c>
      <c r="K19" s="1">
        <v>13.156854066291249</v>
      </c>
      <c r="L19" s="1">
        <v>12.143469212877941</v>
      </c>
      <c r="M19" s="1">
        <v>12.442904676151739</v>
      </c>
      <c r="N19" s="1">
        <v>12.04959562360655</v>
      </c>
      <c r="O19" s="1">
        <v>12.27360075365678</v>
      </c>
      <c r="P19" s="1">
        <v>12.429568557221581</v>
      </c>
      <c r="Q19" s="1">
        <v>11.3478645996558</v>
      </c>
      <c r="R19" s="1">
        <v>11.4334527746026</v>
      </c>
      <c r="S19" s="1">
        <v>11.534044287042889</v>
      </c>
      <c r="T19" s="1">
        <v>12.226115184169361</v>
      </c>
      <c r="U19" s="1">
        <v>14.39992586096214</v>
      </c>
      <c r="V19" s="1">
        <v>15.198685463429051</v>
      </c>
      <c r="W19" s="1">
        <v>14.188240999290441</v>
      </c>
      <c r="X19" s="1">
        <v>13.48966025530579</v>
      </c>
      <c r="Y19" s="1">
        <v>12.687340843490579</v>
      </c>
      <c r="Z19" s="1">
        <v>12.643681083521841</v>
      </c>
      <c r="AA19" s="1">
        <v>12.990946519151739</v>
      </c>
      <c r="AB19" s="1">
        <v>12.70861340358846</v>
      </c>
    </row>
    <row r="20" spans="1:28" x14ac:dyDescent="0.2">
      <c r="A20" s="1" t="s">
        <v>18</v>
      </c>
      <c r="L20" s="1">
        <v>10.24769603632739</v>
      </c>
      <c r="M20" s="1">
        <v>11.057726690345451</v>
      </c>
      <c r="N20" s="1">
        <v>11.295900139890239</v>
      </c>
      <c r="O20" s="1">
        <v>11.604729944251801</v>
      </c>
      <c r="P20" s="1">
        <v>10.720001748393431</v>
      </c>
      <c r="Q20" s="1">
        <v>10.192422708145561</v>
      </c>
      <c r="R20" s="1">
        <v>9.8694693146896508</v>
      </c>
      <c r="T20" s="1">
        <v>10.332672106167401</v>
      </c>
      <c r="U20" s="1">
        <v>12.88370001124396</v>
      </c>
      <c r="V20" s="1">
        <v>13.803055046117199</v>
      </c>
      <c r="W20" s="1">
        <v>12.68948477291744</v>
      </c>
      <c r="X20" s="1">
        <v>12.509117480769719</v>
      </c>
      <c r="Y20" s="1">
        <v>13.115259800521899</v>
      </c>
      <c r="Z20" s="1">
        <v>12.10708341036298</v>
      </c>
      <c r="AA20" s="1">
        <v>13.207341580785139</v>
      </c>
      <c r="AB20" s="1">
        <v>13.621502031060011</v>
      </c>
    </row>
    <row r="21" spans="1:28" x14ac:dyDescent="0.2">
      <c r="A21" s="1" t="s">
        <v>19</v>
      </c>
      <c r="S21" s="1">
        <v>17.790184273613569</v>
      </c>
      <c r="T21" s="1">
        <v>18.836712359209521</v>
      </c>
      <c r="U21" s="1">
        <v>19.566387829772431</v>
      </c>
      <c r="V21" s="1">
        <v>18.99644900137746</v>
      </c>
      <c r="W21" s="1">
        <v>18.062315764963941</v>
      </c>
      <c r="X21" s="1">
        <v>19.19045913977844</v>
      </c>
    </row>
    <row r="22" spans="1:28" x14ac:dyDescent="0.2">
      <c r="A22" s="1" t="s">
        <v>4</v>
      </c>
      <c r="G22" s="1">
        <v>16.334982576273209</v>
      </c>
      <c r="H22" s="1">
        <v>16.591499441951601</v>
      </c>
      <c r="I22" s="1">
        <v>15.221518209669268</v>
      </c>
      <c r="J22" s="1">
        <v>15.015721572157199</v>
      </c>
      <c r="K22" s="1">
        <v>15.803832896635758</v>
      </c>
      <c r="L22" s="1">
        <v>15.259898358290171</v>
      </c>
      <c r="M22" s="1">
        <v>14.817219751330526</v>
      </c>
      <c r="N22" s="1">
        <v>15.351530855852214</v>
      </c>
      <c r="O22" s="1">
        <v>14.271194054723829</v>
      </c>
      <c r="P22" s="1">
        <v>14.425903712460554</v>
      </c>
      <c r="Q22" s="1">
        <v>14.979496222361995</v>
      </c>
      <c r="R22" s="1">
        <v>13.735095818939177</v>
      </c>
      <c r="S22" s="1">
        <v>13.644765827331865</v>
      </c>
      <c r="T22" s="1">
        <v>13.073352060690654</v>
      </c>
      <c r="U22" s="1">
        <v>15.889382113643396</v>
      </c>
      <c r="V22" s="1">
        <v>16.013577044362538</v>
      </c>
      <c r="W22" s="1">
        <v>15.506760851343367</v>
      </c>
      <c r="X22" s="1">
        <v>15.590172412607401</v>
      </c>
      <c r="Y22" s="1">
        <v>15.778448910473015</v>
      </c>
      <c r="Z22" s="1">
        <v>15.527585930446079</v>
      </c>
      <c r="AA22" s="1">
        <v>15.501079124872648</v>
      </c>
      <c r="AB22" s="1">
        <v>15.379245094864789</v>
      </c>
    </row>
    <row r="23" spans="1:28" x14ac:dyDescent="0.2">
      <c r="A23" s="1" t="s">
        <v>6</v>
      </c>
      <c r="G23" s="1">
        <v>18.078554654950395</v>
      </c>
      <c r="H23" s="1">
        <v>17.88364492520974</v>
      </c>
      <c r="I23" s="1">
        <v>18.148809308712412</v>
      </c>
      <c r="J23" s="1">
        <v>18.212587449028735</v>
      </c>
      <c r="K23" s="1">
        <v>18.203069671322226</v>
      </c>
      <c r="L23" s="1">
        <v>18.480356015721519</v>
      </c>
      <c r="M23" s="1">
        <v>18.318398691110666</v>
      </c>
      <c r="N23" s="1">
        <v>18.273867660922548</v>
      </c>
      <c r="O23" s="1">
        <v>18.161970538743592</v>
      </c>
      <c r="P23" s="1">
        <v>18.03190218689598</v>
      </c>
      <c r="Q23" s="1">
        <v>18.232475544075648</v>
      </c>
      <c r="R23" s="1">
        <v>17.761667349850448</v>
      </c>
      <c r="S23" s="1">
        <v>16.881491724521354</v>
      </c>
      <c r="T23" s="1">
        <v>17.296397957058112</v>
      </c>
      <c r="U23" s="1">
        <v>19.185710069535403</v>
      </c>
      <c r="V23" s="1">
        <v>19.93361548128776</v>
      </c>
      <c r="W23" s="1">
        <v>20.24339829351354</v>
      </c>
      <c r="X23" s="1">
        <v>20.255314688593831</v>
      </c>
      <c r="Y23" s="1">
        <v>20.293902228269413</v>
      </c>
      <c r="Z23" s="1">
        <v>19.673303342961045</v>
      </c>
      <c r="AA23" s="1">
        <v>18.854877151078696</v>
      </c>
      <c r="AB23" s="1">
        <v>18.066569886985739</v>
      </c>
    </row>
    <row r="24" spans="1:28" x14ac:dyDescent="0.2">
      <c r="A24" s="1" t="s">
        <v>8</v>
      </c>
      <c r="M24" s="1">
        <v>15.918065701744039</v>
      </c>
      <c r="N24" s="1">
        <v>16.406518056872859</v>
      </c>
      <c r="O24" s="1">
        <v>15.558918375721676</v>
      </c>
      <c r="P24" s="1">
        <v>17.484280876173745</v>
      </c>
      <c r="Q24" s="1">
        <v>21.230963830931579</v>
      </c>
      <c r="R24" s="1">
        <v>21.561190176521542</v>
      </c>
      <c r="S24" s="1">
        <v>19.346842349022847</v>
      </c>
      <c r="T24" s="1">
        <v>21.196785415776908</v>
      </c>
      <c r="U24" s="1">
        <v>23.891173230152805</v>
      </c>
      <c r="V24" s="1">
        <v>23.417102592217926</v>
      </c>
      <c r="W24" s="1">
        <v>14.28466343228526</v>
      </c>
      <c r="X24" s="1">
        <v>23.72513382156221</v>
      </c>
      <c r="Y24" s="1">
        <v>23.351635413029548</v>
      </c>
      <c r="Z24" s="1">
        <v>21.658217358837739</v>
      </c>
      <c r="AA24" s="1">
        <v>19.323454748801172</v>
      </c>
      <c r="AB24" s="1">
        <v>17.139454851182229</v>
      </c>
    </row>
    <row r="25" spans="1:28" x14ac:dyDescent="0.2">
      <c r="A25" s="1" t="s">
        <v>33</v>
      </c>
      <c r="W25" s="1">
        <v>9.9320997729555227</v>
      </c>
      <c r="X25" s="1">
        <v>9.7055967760720563</v>
      </c>
      <c r="Y25" s="1">
        <v>9.3755601891801916</v>
      </c>
      <c r="Z25" s="1">
        <v>9.1957558545996125</v>
      </c>
      <c r="AA25" s="1">
        <v>9.3911211582404519</v>
      </c>
      <c r="AB25" s="1">
        <v>8.8037667002032478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8B239-80B4-4D4E-AB28-CA1CFC3D3AAD}">
  <dimension ref="A1:AE30"/>
  <sheetViews>
    <sheetView workbookViewId="0">
      <selection activeCell="A10" sqref="A10"/>
    </sheetView>
  </sheetViews>
  <sheetFormatPr baseColWidth="10" defaultRowHeight="16" x14ac:dyDescent="0.2"/>
  <cols>
    <col min="1" max="16384" width="10.83203125" style="1"/>
  </cols>
  <sheetData>
    <row r="1" spans="1:31" x14ac:dyDescent="0.2">
      <c r="B1" s="1">
        <v>1987</v>
      </c>
      <c r="C1" s="1">
        <v>1988</v>
      </c>
      <c r="D1" s="1">
        <v>1989</v>
      </c>
      <c r="E1" s="1">
        <v>1990</v>
      </c>
      <c r="F1" s="1">
        <v>1991</v>
      </c>
      <c r="G1" s="1">
        <v>1992</v>
      </c>
      <c r="H1" s="1">
        <v>1993</v>
      </c>
      <c r="I1" s="1">
        <v>1994</v>
      </c>
      <c r="J1" s="1">
        <v>1995</v>
      </c>
      <c r="K1" s="1">
        <v>1996</v>
      </c>
      <c r="L1" s="1">
        <v>1997</v>
      </c>
      <c r="M1" s="1">
        <v>1998</v>
      </c>
      <c r="N1" s="1">
        <v>1999</v>
      </c>
      <c r="O1" s="1">
        <v>2000</v>
      </c>
      <c r="P1" s="1">
        <v>2001</v>
      </c>
      <c r="Q1" s="1">
        <v>2002</v>
      </c>
      <c r="R1" s="1">
        <v>2003</v>
      </c>
      <c r="S1" s="1">
        <v>2004</v>
      </c>
      <c r="T1" s="1">
        <v>2005</v>
      </c>
      <c r="U1" s="1">
        <v>2006</v>
      </c>
      <c r="V1" s="1">
        <v>2007</v>
      </c>
      <c r="W1" s="1">
        <v>2008</v>
      </c>
      <c r="X1" s="1">
        <v>2009</v>
      </c>
      <c r="Y1" s="1">
        <v>2010</v>
      </c>
      <c r="Z1" s="1">
        <v>2011</v>
      </c>
      <c r="AA1" s="1">
        <v>2012</v>
      </c>
      <c r="AB1" s="1">
        <v>2013</v>
      </c>
      <c r="AC1" s="1">
        <v>2014</v>
      </c>
      <c r="AD1" s="1">
        <v>2015</v>
      </c>
      <c r="AE1" s="1">
        <v>2016</v>
      </c>
    </row>
    <row r="2" spans="1:31" x14ac:dyDescent="0.2">
      <c r="A2" s="1" t="s">
        <v>27</v>
      </c>
      <c r="K2" s="1">
        <v>51.5</v>
      </c>
      <c r="Q2" s="1">
        <v>54.1</v>
      </c>
      <c r="T2" s="1">
        <v>42.6</v>
      </c>
      <c r="W2" s="1">
        <v>35.799999999999997</v>
      </c>
      <c r="AA2" s="1">
        <v>39.1</v>
      </c>
    </row>
    <row r="3" spans="1:31" x14ac:dyDescent="0.2">
      <c r="A3" s="1" t="s">
        <v>23</v>
      </c>
      <c r="N3" s="1">
        <v>83.2</v>
      </c>
      <c r="P3" s="1">
        <v>84.4</v>
      </c>
      <c r="Q3" s="1">
        <v>83.5</v>
      </c>
      <c r="R3" s="1">
        <v>83</v>
      </c>
      <c r="S3" s="1">
        <v>74.400000000000006</v>
      </c>
      <c r="T3" s="1">
        <v>68.7</v>
      </c>
      <c r="U3" s="1">
        <v>64</v>
      </c>
      <c r="V3" s="1">
        <v>57.1</v>
      </c>
      <c r="W3" s="1">
        <v>53.5</v>
      </c>
      <c r="X3" s="1">
        <v>62.1</v>
      </c>
      <c r="Y3" s="1">
        <v>63.4</v>
      </c>
      <c r="Z3" s="1">
        <v>60.8</v>
      </c>
      <c r="AA3" s="1">
        <v>56.5</v>
      </c>
      <c r="AB3" s="1">
        <v>54.6</v>
      </c>
      <c r="AC3" s="1">
        <v>52.3</v>
      </c>
      <c r="AD3" s="1">
        <v>48.3</v>
      </c>
      <c r="AE3" s="1">
        <v>43.5</v>
      </c>
    </row>
    <row r="4" spans="1:31" x14ac:dyDescent="0.2">
      <c r="A4" s="1" t="s">
        <v>29</v>
      </c>
      <c r="J4" s="1">
        <v>62.5</v>
      </c>
      <c r="P4" s="1">
        <v>53.1</v>
      </c>
      <c r="Q4" s="1">
        <v>12.6</v>
      </c>
      <c r="R4" s="1">
        <v>13.7</v>
      </c>
      <c r="S4" s="1">
        <v>8.3000000000000007</v>
      </c>
      <c r="T4" s="1">
        <v>7.8</v>
      </c>
    </row>
    <row r="5" spans="1:31" x14ac:dyDescent="0.2">
      <c r="A5" s="1" t="s">
        <v>3</v>
      </c>
      <c r="M5" s="1">
        <v>75.8</v>
      </c>
      <c r="N5" s="1">
        <v>71.400000000000006</v>
      </c>
      <c r="O5" s="1">
        <v>65.2</v>
      </c>
      <c r="P5" s="1">
        <v>49</v>
      </c>
      <c r="Q5" s="1">
        <v>41.9</v>
      </c>
      <c r="R5" s="1">
        <v>38.299999999999997</v>
      </c>
      <c r="S5" s="1">
        <v>26.7</v>
      </c>
      <c r="T5" s="1">
        <v>16.600000000000001</v>
      </c>
      <c r="U5" s="1">
        <v>11.3</v>
      </c>
      <c r="V5" s="1">
        <v>7.2</v>
      </c>
      <c r="W5" s="1">
        <v>5.3</v>
      </c>
      <c r="X5" s="1">
        <v>5</v>
      </c>
      <c r="Y5" s="1">
        <v>3.4</v>
      </c>
      <c r="Z5" s="1">
        <v>2.5</v>
      </c>
      <c r="AA5" s="1">
        <v>1.1000000000000001</v>
      </c>
      <c r="AB5" s="1">
        <v>0.7</v>
      </c>
      <c r="AC5" s="1">
        <v>0.4</v>
      </c>
      <c r="AD5" s="1">
        <v>0.7</v>
      </c>
      <c r="AE5" s="1">
        <v>0.7</v>
      </c>
    </row>
    <row r="6" spans="1:31" x14ac:dyDescent="0.2">
      <c r="A6" s="1" t="s">
        <v>36</v>
      </c>
      <c r="P6" s="1">
        <v>9.3000000000000007</v>
      </c>
      <c r="S6" s="1">
        <v>4.4000000000000004</v>
      </c>
      <c r="V6" s="1">
        <v>2.9</v>
      </c>
      <c r="Z6" s="1">
        <v>3.9</v>
      </c>
      <c r="AD6" s="1">
        <v>3.8</v>
      </c>
    </row>
    <row r="7" spans="1:31" x14ac:dyDescent="0.2">
      <c r="A7" s="1" t="s">
        <v>22</v>
      </c>
      <c r="G7" s="1">
        <v>0.7</v>
      </c>
      <c r="U7" s="1">
        <v>22.5</v>
      </c>
      <c r="V7" s="1">
        <v>11.5</v>
      </c>
      <c r="W7" s="1">
        <v>8.5</v>
      </c>
      <c r="X7" s="1">
        <v>8.4</v>
      </c>
      <c r="Y7" s="1">
        <v>11</v>
      </c>
      <c r="Z7" s="1">
        <v>11.2</v>
      </c>
      <c r="AA7" s="1">
        <v>11</v>
      </c>
      <c r="AB7" s="1">
        <v>11.2</v>
      </c>
      <c r="AC7" s="1">
        <v>8.6999999999999993</v>
      </c>
    </row>
    <row r="8" spans="1:31" x14ac:dyDescent="0.2">
      <c r="A8" s="1" t="s">
        <v>12</v>
      </c>
      <c r="C8" s="1">
        <v>0</v>
      </c>
      <c r="X8" s="1">
        <v>4.7</v>
      </c>
      <c r="Y8" s="1">
        <v>6.2</v>
      </c>
      <c r="Z8" s="1">
        <v>7</v>
      </c>
      <c r="AA8" s="1">
        <v>7.2</v>
      </c>
      <c r="AB8" s="1">
        <v>7.2</v>
      </c>
      <c r="AC8" s="1">
        <v>6.2</v>
      </c>
      <c r="AD8" s="1">
        <v>5.8</v>
      </c>
    </row>
    <row r="9" spans="1:31" x14ac:dyDescent="0.2">
      <c r="A9" s="1" t="s">
        <v>37</v>
      </c>
      <c r="H9" s="1">
        <v>0.4</v>
      </c>
      <c r="K9" s="1">
        <v>0.8</v>
      </c>
      <c r="S9" s="1">
        <v>1.2</v>
      </c>
      <c r="T9" s="1">
        <v>0.7</v>
      </c>
      <c r="U9" s="1">
        <v>0.7</v>
      </c>
      <c r="V9" s="1">
        <v>0.5</v>
      </c>
      <c r="W9" s="1">
        <v>0.5</v>
      </c>
      <c r="X9" s="1">
        <v>0.7</v>
      </c>
      <c r="Y9" s="1">
        <v>0.7</v>
      </c>
      <c r="Z9" s="1">
        <v>0.7</v>
      </c>
      <c r="AA9" s="1">
        <v>0.7</v>
      </c>
      <c r="AB9" s="1">
        <v>0.4</v>
      </c>
      <c r="AC9" s="1">
        <v>0.7</v>
      </c>
      <c r="AD9" s="1">
        <v>0.4</v>
      </c>
    </row>
    <row r="10" spans="1:31" x14ac:dyDescent="0.2">
      <c r="A10" s="1" t="s">
        <v>13</v>
      </c>
      <c r="H10" s="1">
        <v>25.5</v>
      </c>
      <c r="R10" s="1">
        <v>13.5</v>
      </c>
      <c r="S10" s="1">
        <v>9.1999999999999993</v>
      </c>
      <c r="T10" s="1">
        <v>6</v>
      </c>
      <c r="U10" s="1">
        <v>3.7</v>
      </c>
      <c r="V10" s="1">
        <v>2.5</v>
      </c>
      <c r="W10" s="1">
        <v>2.2000000000000002</v>
      </c>
      <c r="X10" s="1">
        <v>3.2</v>
      </c>
      <c r="Y10" s="1">
        <v>4.2</v>
      </c>
      <c r="Z10" s="1">
        <v>3.7</v>
      </c>
      <c r="AA10" s="1">
        <v>3.7</v>
      </c>
      <c r="AB10" s="1">
        <v>3.7</v>
      </c>
      <c r="AC10" s="1">
        <v>3.2</v>
      </c>
      <c r="AD10" s="1">
        <v>2</v>
      </c>
    </row>
    <row r="11" spans="1:31" x14ac:dyDescent="0.2">
      <c r="A11" s="1" t="s">
        <v>26</v>
      </c>
      <c r="K11" s="1">
        <v>43.3</v>
      </c>
      <c r="L11" s="1">
        <v>66.8</v>
      </c>
      <c r="M11" s="1">
        <v>66.8</v>
      </c>
      <c r="N11" s="1">
        <v>73.8</v>
      </c>
      <c r="O11" s="1">
        <v>75.599999999999994</v>
      </c>
      <c r="P11" s="1">
        <v>78.2</v>
      </c>
      <c r="Q11" s="1">
        <v>64.7</v>
      </c>
      <c r="R11" s="1">
        <v>64.599999999999994</v>
      </c>
      <c r="S11" s="1">
        <v>61.5</v>
      </c>
      <c r="T11" s="1">
        <v>64.099999999999994</v>
      </c>
      <c r="U11" s="1">
        <v>64.5</v>
      </c>
      <c r="V11" s="1">
        <v>67</v>
      </c>
      <c r="W11" s="1">
        <v>63.4</v>
      </c>
      <c r="X11" s="1">
        <v>60.9</v>
      </c>
      <c r="Y11" s="1">
        <v>62.6</v>
      </c>
      <c r="Z11" s="1">
        <v>60</v>
      </c>
      <c r="AA11" s="1">
        <v>56.3</v>
      </c>
      <c r="AB11" s="1">
        <v>51.4</v>
      </c>
      <c r="AC11" s="1">
        <v>47.2</v>
      </c>
      <c r="AD11" s="1">
        <v>46.7</v>
      </c>
      <c r="AE11" s="1">
        <v>45.5</v>
      </c>
    </row>
    <row r="12" spans="1:31" x14ac:dyDescent="0.2">
      <c r="A12" s="1" t="s">
        <v>9</v>
      </c>
      <c r="B12" s="1">
        <v>0.3</v>
      </c>
      <c r="D12" s="1">
        <v>12.5</v>
      </c>
      <c r="H12" s="1">
        <v>2.1</v>
      </c>
      <c r="S12" s="1">
        <v>3</v>
      </c>
      <c r="T12" s="1">
        <v>4.7</v>
      </c>
      <c r="U12" s="1">
        <v>2</v>
      </c>
      <c r="V12" s="1">
        <v>1.7</v>
      </c>
      <c r="W12" s="1">
        <v>1.5</v>
      </c>
      <c r="X12" s="1">
        <v>1.5</v>
      </c>
      <c r="Y12" s="1">
        <v>2.5</v>
      </c>
      <c r="Z12" s="1">
        <v>2.7</v>
      </c>
      <c r="AA12" s="1">
        <v>4.5</v>
      </c>
      <c r="AB12" s="1">
        <v>4.5</v>
      </c>
      <c r="AC12" s="1">
        <v>3.2</v>
      </c>
      <c r="AD12" s="1">
        <v>2.7</v>
      </c>
    </row>
    <row r="13" spans="1:31" x14ac:dyDescent="0.2">
      <c r="A13" s="1" t="s">
        <v>7</v>
      </c>
      <c r="K13" s="1">
        <v>57</v>
      </c>
      <c r="P13" s="1">
        <v>64.900000000000006</v>
      </c>
      <c r="Q13" s="1">
        <v>62</v>
      </c>
      <c r="R13" s="1">
        <v>56.3</v>
      </c>
      <c r="S13" s="1">
        <v>52</v>
      </c>
      <c r="T13" s="1">
        <v>51.6</v>
      </c>
      <c r="U13" s="1">
        <v>35.4</v>
      </c>
      <c r="V13" s="1">
        <v>24</v>
      </c>
      <c r="W13" s="1">
        <v>22.1</v>
      </c>
      <c r="X13" s="1">
        <v>22.7</v>
      </c>
      <c r="Y13" s="1">
        <v>18.100000000000001</v>
      </c>
      <c r="Z13" s="1">
        <v>9</v>
      </c>
      <c r="AA13" s="1">
        <v>8.9</v>
      </c>
      <c r="AB13" s="1">
        <v>5.6</v>
      </c>
      <c r="AC13" s="1">
        <v>6.4</v>
      </c>
      <c r="AD13" s="1">
        <v>7.7</v>
      </c>
    </row>
    <row r="14" spans="1:31" x14ac:dyDescent="0.2">
      <c r="A14" s="1" t="s">
        <v>10</v>
      </c>
      <c r="R14" s="1">
        <v>54.8</v>
      </c>
      <c r="T14" s="1">
        <v>53.9</v>
      </c>
      <c r="U14" s="1">
        <v>55</v>
      </c>
      <c r="X14" s="1">
        <v>44.7</v>
      </c>
      <c r="Y14" s="1">
        <v>45.3</v>
      </c>
      <c r="Z14" s="1">
        <v>41.1</v>
      </c>
      <c r="AA14" s="1">
        <v>27.6</v>
      </c>
      <c r="AB14" s="1">
        <v>23.2</v>
      </c>
      <c r="AC14" s="1">
        <v>25.3</v>
      </c>
      <c r="AD14" s="1">
        <v>21.5</v>
      </c>
    </row>
    <row r="15" spans="1:31" x14ac:dyDescent="0.2">
      <c r="A15" s="1" t="s">
        <v>14</v>
      </c>
      <c r="M15" s="1">
        <v>78.099999999999994</v>
      </c>
      <c r="O15" s="1">
        <v>94.2</v>
      </c>
      <c r="P15" s="1">
        <v>94.3</v>
      </c>
      <c r="Q15" s="1">
        <v>93.4</v>
      </c>
      <c r="R15" s="1">
        <v>93</v>
      </c>
      <c r="S15" s="1">
        <v>77.7</v>
      </c>
      <c r="T15" s="1">
        <v>82.9</v>
      </c>
      <c r="U15" s="1">
        <v>70.400000000000006</v>
      </c>
      <c r="V15" s="1">
        <v>71.099999999999994</v>
      </c>
      <c r="W15" s="1">
        <v>63.9</v>
      </c>
      <c r="X15" s="1">
        <v>63.2</v>
      </c>
      <c r="Y15" s="1">
        <v>66.2</v>
      </c>
      <c r="Z15" s="1">
        <v>66.3</v>
      </c>
      <c r="AA15" s="1">
        <v>69.2</v>
      </c>
      <c r="AB15" s="1">
        <v>69.5</v>
      </c>
      <c r="AC15" s="1">
        <v>66.599999999999994</v>
      </c>
      <c r="AD15" s="1">
        <v>69.900000000000006</v>
      </c>
      <c r="AE15" s="1">
        <v>67.099999999999994</v>
      </c>
    </row>
    <row r="16" spans="1:31" x14ac:dyDescent="0.2">
      <c r="A16" s="1" t="s">
        <v>20</v>
      </c>
      <c r="H16" s="1">
        <v>30.5</v>
      </c>
      <c r="J16" s="1">
        <v>22.1</v>
      </c>
      <c r="K16" s="1">
        <v>23.6</v>
      </c>
      <c r="S16" s="1">
        <v>15.2</v>
      </c>
      <c r="T16" s="1">
        <v>14</v>
      </c>
      <c r="U16" s="1">
        <v>7.7</v>
      </c>
      <c r="V16" s="1">
        <v>5</v>
      </c>
      <c r="W16" s="1">
        <v>6.2</v>
      </c>
      <c r="X16" s="1">
        <v>9.5</v>
      </c>
      <c r="Y16" s="1">
        <v>9.5</v>
      </c>
      <c r="Z16" s="1">
        <v>8.6999999999999993</v>
      </c>
      <c r="AA16" s="1">
        <v>7.5</v>
      </c>
      <c r="AB16" s="1">
        <v>6</v>
      </c>
      <c r="AC16" s="1">
        <v>5.5</v>
      </c>
      <c r="AD16" s="1">
        <v>4</v>
      </c>
    </row>
    <row r="17" spans="1:31" x14ac:dyDescent="0.2">
      <c r="A17" s="1" t="s">
        <v>21</v>
      </c>
      <c r="H17" s="1">
        <v>71.3</v>
      </c>
      <c r="S17" s="1">
        <v>19.2</v>
      </c>
      <c r="T17" s="1">
        <v>12.2</v>
      </c>
      <c r="U17" s="1">
        <v>7.2</v>
      </c>
      <c r="V17" s="1">
        <v>4.5999999999999996</v>
      </c>
      <c r="W17" s="1">
        <v>4.7</v>
      </c>
      <c r="X17" s="1">
        <v>9</v>
      </c>
      <c r="Y17" s="1">
        <v>8.4</v>
      </c>
      <c r="Z17" s="1">
        <v>5.5</v>
      </c>
      <c r="AA17" s="1">
        <v>5.6</v>
      </c>
      <c r="AB17" s="1">
        <v>5</v>
      </c>
      <c r="AC17" s="1">
        <v>5</v>
      </c>
      <c r="AD17" s="1">
        <v>4.2</v>
      </c>
    </row>
    <row r="18" spans="1:31" x14ac:dyDescent="0.2">
      <c r="A18" s="1" t="s">
        <v>15</v>
      </c>
      <c r="Y18" s="1">
        <v>32</v>
      </c>
      <c r="Z18" s="1">
        <v>32</v>
      </c>
      <c r="AA18" s="1">
        <v>30.1</v>
      </c>
      <c r="AB18" s="1">
        <v>29</v>
      </c>
      <c r="AC18" s="1">
        <v>25.1</v>
      </c>
    </row>
    <row r="19" spans="1:31" x14ac:dyDescent="0.2">
      <c r="A19" s="1" t="s">
        <v>16</v>
      </c>
      <c r="L19" s="1">
        <v>75</v>
      </c>
      <c r="M19" s="1">
        <v>83.4</v>
      </c>
      <c r="N19" s="1">
        <v>88.3</v>
      </c>
      <c r="O19" s="1">
        <v>90.4</v>
      </c>
      <c r="P19" s="1">
        <v>85.3</v>
      </c>
      <c r="Q19" s="1">
        <v>76.099999999999994</v>
      </c>
      <c r="R19" s="1">
        <v>68.599999999999994</v>
      </c>
      <c r="S19" s="1">
        <v>69.2</v>
      </c>
      <c r="T19" s="1">
        <v>74.400000000000006</v>
      </c>
      <c r="U19" s="1">
        <v>40.6</v>
      </c>
      <c r="V19" s="1">
        <v>31.5</v>
      </c>
      <c r="W19" s="1">
        <v>32.9</v>
      </c>
      <c r="X19" s="1">
        <v>31.5</v>
      </c>
      <c r="Y19" s="1">
        <v>29</v>
      </c>
      <c r="Z19" s="1">
        <v>25.6</v>
      </c>
      <c r="AA19" s="1">
        <v>24.6</v>
      </c>
      <c r="AB19" s="1">
        <v>19.7</v>
      </c>
      <c r="AC19" s="1">
        <v>18.399999999999999</v>
      </c>
      <c r="AD19" s="1">
        <v>16.3</v>
      </c>
      <c r="AE19" s="1">
        <v>16.5</v>
      </c>
    </row>
    <row r="20" spans="1:31" x14ac:dyDescent="0.2">
      <c r="A20" s="1" t="s">
        <v>24</v>
      </c>
      <c r="T20" s="1">
        <v>10</v>
      </c>
      <c r="U20" s="1">
        <v>9.1</v>
      </c>
      <c r="V20" s="1">
        <v>5.8</v>
      </c>
      <c r="W20" s="1">
        <v>3.3</v>
      </c>
      <c r="X20" s="1">
        <v>5.2</v>
      </c>
      <c r="Y20" s="1">
        <v>4.5</v>
      </c>
      <c r="Z20" s="1">
        <v>6.6</v>
      </c>
      <c r="AA20" s="1">
        <v>8.6999999999999993</v>
      </c>
      <c r="AB20" s="1">
        <v>10</v>
      </c>
      <c r="AC20" s="1">
        <v>4.8</v>
      </c>
    </row>
    <row r="21" spans="1:31" x14ac:dyDescent="0.2">
      <c r="A21" s="1" t="s">
        <v>11</v>
      </c>
      <c r="H21" s="1">
        <v>24.7</v>
      </c>
      <c r="K21" s="1">
        <v>57.6</v>
      </c>
      <c r="M21" s="1">
        <v>9.1999999999999993</v>
      </c>
      <c r="N21" s="1">
        <v>10.4</v>
      </c>
      <c r="O21" s="1">
        <v>11.1</v>
      </c>
      <c r="P21" s="1">
        <v>11.6</v>
      </c>
      <c r="Q21" s="1">
        <v>12.4</v>
      </c>
      <c r="R21" s="1">
        <v>10.7</v>
      </c>
      <c r="S21" s="1">
        <v>10.1</v>
      </c>
      <c r="T21" s="1">
        <v>11.8</v>
      </c>
      <c r="U21" s="1">
        <v>9</v>
      </c>
      <c r="V21" s="1">
        <v>6.9</v>
      </c>
      <c r="W21" s="1">
        <v>5.4</v>
      </c>
      <c r="X21" s="1">
        <v>4.7</v>
      </c>
      <c r="Y21" s="1">
        <v>4.7</v>
      </c>
      <c r="Z21" s="1">
        <v>4.9000000000000004</v>
      </c>
      <c r="AA21" s="1">
        <v>4.7</v>
      </c>
      <c r="AB21" s="1">
        <v>4.5999999999999996</v>
      </c>
      <c r="AC21" s="1">
        <v>4.2</v>
      </c>
      <c r="AD21" s="1">
        <v>3.6</v>
      </c>
    </row>
    <row r="22" spans="1:31" x14ac:dyDescent="0.2">
      <c r="A22" s="1" t="s">
        <v>17</v>
      </c>
      <c r="M22" s="1">
        <v>42.4</v>
      </c>
      <c r="N22" s="1">
        <v>69.599999999999994</v>
      </c>
      <c r="O22" s="1">
        <v>72.099999999999994</v>
      </c>
      <c r="P22" s="1">
        <v>64.7</v>
      </c>
      <c r="Q22" s="1">
        <v>62.7</v>
      </c>
      <c r="R22" s="1">
        <v>58.4</v>
      </c>
      <c r="S22" s="1">
        <v>49.8</v>
      </c>
      <c r="T22" s="1">
        <v>45.5</v>
      </c>
      <c r="U22" s="1">
        <v>44.4</v>
      </c>
      <c r="V22" s="1">
        <v>37.5</v>
      </c>
      <c r="W22" s="1">
        <v>25.7</v>
      </c>
      <c r="X22" s="1">
        <v>23</v>
      </c>
      <c r="Y22" s="1">
        <v>25.5</v>
      </c>
      <c r="Z22" s="1">
        <v>25.3</v>
      </c>
      <c r="AA22" s="1">
        <v>24.2</v>
      </c>
      <c r="AB22" s="1">
        <v>24.2</v>
      </c>
      <c r="AE22" s="1">
        <v>18.5</v>
      </c>
    </row>
    <row r="23" spans="1:31" x14ac:dyDescent="0.2">
      <c r="A23" s="1" t="s">
        <v>38</v>
      </c>
      <c r="H23" s="1">
        <v>26.3</v>
      </c>
      <c r="K23" s="1">
        <v>26.2</v>
      </c>
      <c r="L23" s="1">
        <v>21.1</v>
      </c>
      <c r="M23" s="1">
        <v>26.2</v>
      </c>
      <c r="N23" s="1">
        <v>37.299999999999997</v>
      </c>
      <c r="O23" s="1">
        <v>32.1</v>
      </c>
      <c r="P23" s="1">
        <v>25.4</v>
      </c>
      <c r="Q23" s="1">
        <v>20.8</v>
      </c>
      <c r="R23" s="1">
        <v>19.8</v>
      </c>
      <c r="S23" s="1">
        <v>17.399999999999999</v>
      </c>
      <c r="T23" s="1">
        <v>14.7</v>
      </c>
      <c r="U23" s="1">
        <v>11.6</v>
      </c>
      <c r="V23" s="1">
        <v>8.3000000000000007</v>
      </c>
      <c r="W23" s="1">
        <v>5.2</v>
      </c>
      <c r="X23" s="1">
        <v>4.9000000000000004</v>
      </c>
      <c r="Y23" s="1">
        <v>4</v>
      </c>
      <c r="Z23" s="1">
        <v>3.2</v>
      </c>
      <c r="AA23" s="1">
        <v>2.9</v>
      </c>
      <c r="AB23" s="1">
        <v>2.5</v>
      </c>
      <c r="AC23" s="1">
        <v>2.4</v>
      </c>
      <c r="AD23" s="1">
        <v>2.7</v>
      </c>
    </row>
    <row r="24" spans="1:31" x14ac:dyDescent="0.2">
      <c r="A24" s="1" t="s">
        <v>19</v>
      </c>
      <c r="Q24" s="1">
        <v>10.199999999999999</v>
      </c>
      <c r="R24" s="1">
        <v>12.6</v>
      </c>
      <c r="S24" s="1">
        <v>18.5</v>
      </c>
      <c r="T24" s="1">
        <v>17.100000000000001</v>
      </c>
      <c r="U24" s="1">
        <v>11.6</v>
      </c>
      <c r="V24" s="1">
        <v>10.199999999999999</v>
      </c>
      <c r="W24" s="1">
        <v>8.5</v>
      </c>
      <c r="X24" s="1">
        <v>9.6</v>
      </c>
      <c r="Y24" s="1">
        <v>12.5</v>
      </c>
      <c r="AB24" s="1">
        <v>12.4</v>
      </c>
      <c r="AD24" s="1">
        <v>7.4</v>
      </c>
    </row>
    <row r="25" spans="1:31" x14ac:dyDescent="0.2">
      <c r="A25" s="1" t="s">
        <v>4</v>
      </c>
      <c r="K25" s="1">
        <v>6.1</v>
      </c>
      <c r="S25" s="1">
        <v>5.2</v>
      </c>
      <c r="T25" s="1">
        <v>3.2</v>
      </c>
      <c r="U25" s="1">
        <v>2.2000000000000002</v>
      </c>
      <c r="V25" s="1">
        <v>2</v>
      </c>
      <c r="W25" s="1">
        <v>2.2000000000000002</v>
      </c>
      <c r="X25" s="1">
        <v>2.5</v>
      </c>
      <c r="Y25" s="1">
        <v>2.2000000000000002</v>
      </c>
      <c r="Z25" s="1">
        <v>2.2000000000000002</v>
      </c>
      <c r="AA25" s="1">
        <v>3</v>
      </c>
      <c r="AB25" s="1">
        <v>3</v>
      </c>
      <c r="AC25" s="1">
        <v>3.5</v>
      </c>
      <c r="AD25" s="1">
        <v>3</v>
      </c>
    </row>
    <row r="26" spans="1:31" x14ac:dyDescent="0.2">
      <c r="A26" s="1" t="s">
        <v>6</v>
      </c>
      <c r="H26" s="1">
        <v>0.6</v>
      </c>
      <c r="S26" s="1">
        <v>0.5</v>
      </c>
      <c r="T26" s="1">
        <v>0.5</v>
      </c>
      <c r="U26" s="1">
        <v>0.2</v>
      </c>
      <c r="V26" s="1">
        <v>0.2</v>
      </c>
      <c r="W26" s="1">
        <v>0</v>
      </c>
      <c r="X26" s="1">
        <v>0.2</v>
      </c>
      <c r="Y26" s="1">
        <v>0</v>
      </c>
      <c r="Z26" s="1">
        <v>0.2</v>
      </c>
      <c r="AA26" s="1">
        <v>0.2</v>
      </c>
      <c r="AB26" s="1">
        <v>0.2</v>
      </c>
      <c r="AC26" s="1">
        <v>0.2</v>
      </c>
      <c r="AD26" s="1">
        <v>0.2</v>
      </c>
    </row>
    <row r="27" spans="1:31" x14ac:dyDescent="0.2">
      <c r="A27" s="1" t="s">
        <v>28</v>
      </c>
      <c r="N27" s="1">
        <v>98.1</v>
      </c>
      <c r="R27" s="1">
        <v>90.7</v>
      </c>
      <c r="S27" s="1">
        <v>80.599999999999994</v>
      </c>
      <c r="V27" s="1">
        <v>74</v>
      </c>
      <c r="X27" s="1">
        <v>63.6</v>
      </c>
      <c r="AD27" s="1">
        <v>54.2</v>
      </c>
    </row>
    <row r="28" spans="1:31" x14ac:dyDescent="0.2">
      <c r="A28" s="1" t="s">
        <v>32</v>
      </c>
      <c r="M28" s="1">
        <v>92.5</v>
      </c>
    </row>
    <row r="29" spans="1:31" x14ac:dyDescent="0.2">
      <c r="A29" s="1" t="s">
        <v>8</v>
      </c>
      <c r="J29" s="1">
        <v>48.6</v>
      </c>
      <c r="K29" s="1">
        <v>57.4</v>
      </c>
      <c r="Q29" s="1">
        <v>47.2</v>
      </c>
      <c r="R29" s="1">
        <v>37.6</v>
      </c>
      <c r="S29" s="1">
        <v>29.4</v>
      </c>
      <c r="T29" s="1">
        <v>19</v>
      </c>
      <c r="U29" s="1">
        <v>15.2</v>
      </c>
      <c r="V29" s="1">
        <v>14.6</v>
      </c>
      <c r="W29" s="1">
        <v>8.3000000000000007</v>
      </c>
      <c r="X29" s="1">
        <v>9.8000000000000007</v>
      </c>
      <c r="Y29" s="1">
        <v>6.2</v>
      </c>
      <c r="Z29" s="1">
        <v>5.7</v>
      </c>
      <c r="AA29" s="1">
        <v>4.0999999999999996</v>
      </c>
      <c r="AB29" s="1">
        <v>3.3</v>
      </c>
      <c r="AC29" s="1">
        <v>3.6</v>
      </c>
      <c r="AD29" s="1">
        <v>7.8</v>
      </c>
      <c r="AE29" s="1">
        <v>6.4</v>
      </c>
    </row>
    <row r="30" spans="1:31" x14ac:dyDescent="0.2">
      <c r="A30" s="1" t="s">
        <v>33</v>
      </c>
      <c r="M30" s="1">
        <v>87.3</v>
      </c>
      <c r="O30" s="1">
        <v>96.5</v>
      </c>
      <c r="Q30" s="1">
        <v>96.1</v>
      </c>
      <c r="R30" s="1">
        <v>96.4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C6F64-472A-2B49-98DA-0AA10D4964E1}">
  <dimension ref="A1:AW30"/>
  <sheetViews>
    <sheetView workbookViewId="0">
      <selection activeCell="A14" sqref="A14:XFD14"/>
    </sheetView>
  </sheetViews>
  <sheetFormatPr baseColWidth="10" defaultRowHeight="16" x14ac:dyDescent="0.2"/>
  <cols>
    <col min="1" max="16384" width="10.83203125" style="1"/>
  </cols>
  <sheetData>
    <row r="1" spans="1:38" x14ac:dyDescent="0.2">
      <c r="B1" s="1">
        <v>1980</v>
      </c>
      <c r="C1" s="1">
        <v>1981</v>
      </c>
      <c r="D1" s="1">
        <v>1982</v>
      </c>
      <c r="E1" s="1">
        <v>1983</v>
      </c>
      <c r="F1" s="1">
        <v>1984</v>
      </c>
      <c r="G1" s="1">
        <v>1985</v>
      </c>
      <c r="H1" s="1">
        <v>1986</v>
      </c>
      <c r="I1" s="1">
        <v>1987</v>
      </c>
      <c r="J1" s="1">
        <v>1988</v>
      </c>
      <c r="K1" s="1">
        <v>1989</v>
      </c>
      <c r="L1" s="1">
        <v>1990</v>
      </c>
      <c r="M1" s="1">
        <v>1991</v>
      </c>
      <c r="N1" s="1">
        <v>1992</v>
      </c>
      <c r="O1" s="1">
        <v>1993</v>
      </c>
      <c r="P1" s="1">
        <v>1994</v>
      </c>
      <c r="Q1" s="1">
        <v>1995</v>
      </c>
      <c r="R1" s="1">
        <v>1996</v>
      </c>
      <c r="S1" s="1">
        <v>1997</v>
      </c>
      <c r="T1" s="1">
        <v>1998</v>
      </c>
      <c r="U1" s="1">
        <v>1999</v>
      </c>
      <c r="V1" s="1">
        <v>2000</v>
      </c>
      <c r="W1" s="1">
        <v>2001</v>
      </c>
      <c r="X1" s="1">
        <v>2002</v>
      </c>
      <c r="Y1" s="1">
        <v>2003</v>
      </c>
      <c r="Z1" s="1">
        <v>2004</v>
      </c>
      <c r="AA1" s="1">
        <v>2005</v>
      </c>
      <c r="AB1" s="1">
        <v>2006</v>
      </c>
      <c r="AC1" s="1">
        <v>2007</v>
      </c>
      <c r="AD1" s="1">
        <v>2008</v>
      </c>
      <c r="AE1" s="1">
        <v>2009</v>
      </c>
      <c r="AF1" s="1">
        <v>2010</v>
      </c>
      <c r="AG1" s="1">
        <v>2011</v>
      </c>
      <c r="AH1" s="1">
        <v>2012</v>
      </c>
      <c r="AI1" s="1">
        <v>2013</v>
      </c>
      <c r="AJ1" s="1">
        <v>2014</v>
      </c>
      <c r="AK1" s="1">
        <v>2015</v>
      </c>
      <c r="AL1" s="1">
        <v>2016</v>
      </c>
    </row>
    <row r="2" spans="1:38" x14ac:dyDescent="0.2">
      <c r="A2" s="1" t="s">
        <v>27</v>
      </c>
      <c r="B2" s="7">
        <v>2037.0789794921875</v>
      </c>
      <c r="C2" s="7">
        <v>2112.3251953125</v>
      </c>
      <c r="D2" s="7">
        <v>2130.9423828125</v>
      </c>
      <c r="E2" s="7">
        <v>2111.039794921875</v>
      </c>
      <c r="F2" s="7">
        <v>2042.37646484375</v>
      </c>
      <c r="G2" s="7">
        <v>2036.06884765625</v>
      </c>
      <c r="H2" s="7">
        <v>2108.9482421875</v>
      </c>
      <c r="I2" s="7">
        <v>2051.591064453125</v>
      </c>
      <c r="J2" s="7">
        <v>1982.7916259765625</v>
      </c>
      <c r="K2" s="7">
        <v>2137.65283203125</v>
      </c>
      <c r="L2" s="7">
        <v>1903.69580078125</v>
      </c>
      <c r="M2" s="7">
        <v>1367.327392578125</v>
      </c>
      <c r="N2" s="7">
        <v>1313.9171142578125</v>
      </c>
      <c r="O2" s="7">
        <v>1442.7423095703125</v>
      </c>
      <c r="P2" s="7">
        <v>1539.95166015625</v>
      </c>
      <c r="Q2" s="7">
        <v>1718.8037109375</v>
      </c>
      <c r="R2" s="7">
        <v>1848.614013671875</v>
      </c>
      <c r="S2" s="7">
        <v>1637.1158447265625</v>
      </c>
      <c r="T2" s="7">
        <v>1791.6240234375</v>
      </c>
      <c r="U2" s="7">
        <v>2049.746337890625</v>
      </c>
      <c r="V2" s="7">
        <v>2206.454833984375</v>
      </c>
      <c r="W2" s="7">
        <v>2404.762939453125</v>
      </c>
      <c r="X2" s="7">
        <v>2530.7685546875</v>
      </c>
      <c r="Y2" s="7">
        <v>2701.61572265625</v>
      </c>
      <c r="Z2" s="7">
        <v>2878.394287109375</v>
      </c>
      <c r="AA2" s="7">
        <v>3064.29833984375</v>
      </c>
      <c r="AB2" s="7">
        <v>3250.878173828125</v>
      </c>
      <c r="AC2" s="7">
        <v>3459.02587890625</v>
      </c>
      <c r="AD2" s="7">
        <v>3728.78125</v>
      </c>
      <c r="AE2" s="7">
        <v>3855.738037109375</v>
      </c>
      <c r="AF2" s="7">
        <v>3992.8798828125</v>
      </c>
      <c r="AG2" s="7">
        <v>4084.1494140625</v>
      </c>
      <c r="AH2" s="7">
        <v>4130.84423828125</v>
      </c>
      <c r="AI2" s="7">
        <v>4164.84375</v>
      </c>
      <c r="AJ2" s="7">
        <v>4227.45166015625</v>
      </c>
      <c r="AK2" s="7">
        <v>4323.958984375</v>
      </c>
      <c r="AL2" s="7">
        <v>4459.8525390625</v>
      </c>
    </row>
    <row r="3" spans="1:38" x14ac:dyDescent="0.2">
      <c r="A3" s="1" t="s">
        <v>23</v>
      </c>
      <c r="B3" s="7">
        <v>1589.63330078125</v>
      </c>
      <c r="C3" s="7">
        <v>1605.877685546875</v>
      </c>
      <c r="D3" s="7">
        <v>1621.8067626953125</v>
      </c>
      <c r="E3" s="7">
        <v>1638.8978271484375</v>
      </c>
      <c r="F3" s="7">
        <v>1656.19091796875</v>
      </c>
      <c r="G3" s="7">
        <v>1674.627685546875</v>
      </c>
      <c r="H3" s="7">
        <v>1694.990966796875</v>
      </c>
      <c r="I3" s="7">
        <v>1716.7215576171875</v>
      </c>
      <c r="J3" s="7">
        <v>1739.1082763671875</v>
      </c>
      <c r="K3" s="7">
        <v>1887.331787109375</v>
      </c>
      <c r="L3" s="7">
        <v>1801.419921875</v>
      </c>
      <c r="M3" s="7">
        <v>1564.0787353515625</v>
      </c>
      <c r="N3" s="7">
        <v>931.145751953125</v>
      </c>
      <c r="O3" s="7">
        <v>895.22857666015625</v>
      </c>
      <c r="P3" s="7">
        <v>982.0731201171875</v>
      </c>
      <c r="Q3" s="7">
        <v>1072.5771484375</v>
      </c>
      <c r="R3" s="7">
        <v>1139.1954345703125</v>
      </c>
      <c r="S3" s="7">
        <v>1179.8299560546875</v>
      </c>
      <c r="T3" s="7">
        <v>1268.58544921875</v>
      </c>
      <c r="U3" s="7">
        <v>1311.35595703125</v>
      </c>
      <c r="V3" s="7">
        <v>1390.5277099609375</v>
      </c>
      <c r="W3" s="7">
        <v>1523.6947021484375</v>
      </c>
      <c r="X3" s="7">
        <v>1726.3697509765625</v>
      </c>
      <c r="Y3" s="7">
        <v>1973.4931640625</v>
      </c>
      <c r="Z3" s="7">
        <v>2181.638427734375</v>
      </c>
      <c r="AA3" s="7">
        <v>2486.2412109375</v>
      </c>
      <c r="AB3" s="7">
        <v>2817.0966796875</v>
      </c>
      <c r="AC3" s="7">
        <v>3207.021728515625</v>
      </c>
      <c r="AD3" s="7">
        <v>3430.692138671875</v>
      </c>
      <c r="AE3" s="7">
        <v>2947.354248046875</v>
      </c>
      <c r="AF3" s="7">
        <v>3014.447265625</v>
      </c>
      <c r="AG3" s="7">
        <v>3158.6083984375</v>
      </c>
      <c r="AH3" s="7">
        <v>3388.835693359375</v>
      </c>
      <c r="AI3" s="7">
        <v>3503.9853515625</v>
      </c>
      <c r="AJ3" s="7">
        <v>3634.25634765625</v>
      </c>
      <c r="AK3" s="7">
        <v>3748.48779296875</v>
      </c>
      <c r="AL3" s="7">
        <v>3762.30224609375</v>
      </c>
    </row>
    <row r="4" spans="1:38" x14ac:dyDescent="0.2">
      <c r="A4" s="1" t="s">
        <v>29</v>
      </c>
      <c r="B4" s="7">
        <v>3338.95166015625</v>
      </c>
      <c r="C4" s="7">
        <v>3375.260986328125</v>
      </c>
      <c r="D4" s="7">
        <v>3412.01953125</v>
      </c>
      <c r="E4" s="7">
        <v>3448.650634765625</v>
      </c>
      <c r="F4" s="7">
        <v>3482.5595703125</v>
      </c>
      <c r="G4" s="7">
        <v>3520.836669921875</v>
      </c>
      <c r="H4" s="7">
        <v>3564.580322265625</v>
      </c>
      <c r="I4" s="7">
        <v>3608.144775390625</v>
      </c>
      <c r="J4" s="7">
        <v>3656.333740234375</v>
      </c>
      <c r="K4" s="7">
        <v>3419.9873046875</v>
      </c>
      <c r="L4" s="7">
        <v>2978.018310546875</v>
      </c>
      <c r="M4" s="7">
        <v>2916.76513671875</v>
      </c>
      <c r="N4" s="7">
        <v>2223.386962890625</v>
      </c>
      <c r="O4" s="7">
        <v>1683.376220703125</v>
      </c>
      <c r="P4" s="7">
        <v>1332.5380859375</v>
      </c>
      <c r="Q4" s="7">
        <v>1160.927001953125</v>
      </c>
      <c r="R4" s="7">
        <v>1163.339599609375</v>
      </c>
      <c r="S4" s="7">
        <v>1218.06396484375</v>
      </c>
      <c r="T4" s="7">
        <v>1326.1370849609375</v>
      </c>
      <c r="U4" s="7">
        <v>1410.7266845703125</v>
      </c>
      <c r="V4" s="7">
        <v>1553.496337890625</v>
      </c>
      <c r="W4" s="7">
        <v>1693.4390869140625</v>
      </c>
      <c r="X4" s="7">
        <v>1858.7091064453125</v>
      </c>
      <c r="Y4" s="7">
        <v>2051.314208984375</v>
      </c>
      <c r="Z4" s="7">
        <v>2241.171875</v>
      </c>
      <c r="AA4" s="7">
        <v>2804.71337890625</v>
      </c>
      <c r="AB4" s="7">
        <v>3732.6962890625</v>
      </c>
      <c r="AC4" s="7">
        <v>4618.0615234375</v>
      </c>
      <c r="AD4" s="7">
        <v>5061.609375</v>
      </c>
      <c r="AE4" s="7">
        <v>5480.38330078125</v>
      </c>
      <c r="AF4" s="7">
        <v>5687.7939453125</v>
      </c>
      <c r="AG4" s="7">
        <v>5633.63916015625</v>
      </c>
      <c r="AH4" s="7">
        <v>5699.16357421875</v>
      </c>
      <c r="AI4" s="7">
        <v>5968.81689453125</v>
      </c>
      <c r="AJ4" s="7">
        <v>6027.82177734375</v>
      </c>
      <c r="AK4" s="7">
        <v>6035.20361328125</v>
      </c>
      <c r="AL4" s="7">
        <v>5793.625</v>
      </c>
    </row>
    <row r="5" spans="1:38" x14ac:dyDescent="0.2">
      <c r="A5" s="1" t="s">
        <v>3</v>
      </c>
      <c r="B5" s="7">
        <v>2332.643310546875</v>
      </c>
      <c r="C5" s="7">
        <v>2387.689697265625</v>
      </c>
      <c r="D5" s="7">
        <v>2444.9169921875</v>
      </c>
      <c r="E5" s="7">
        <v>2503.535400390625</v>
      </c>
      <c r="F5" s="7">
        <v>2562.97900390625</v>
      </c>
      <c r="G5" s="7">
        <v>2624.383544921875</v>
      </c>
      <c r="H5" s="7">
        <v>2688.73095703125</v>
      </c>
      <c r="I5" s="7">
        <v>2757.266845703125</v>
      </c>
      <c r="J5" s="7">
        <v>2827.93310546875</v>
      </c>
      <c r="K5" s="7">
        <v>2905.527099609375</v>
      </c>
      <c r="L5" s="7">
        <v>2990.587646484375</v>
      </c>
      <c r="M5" s="7">
        <v>2953.338623046875</v>
      </c>
      <c r="N5" s="7">
        <v>2663.96533203125</v>
      </c>
      <c r="O5" s="7">
        <v>2456.081298828125</v>
      </c>
      <c r="P5" s="7">
        <v>2171.28173828125</v>
      </c>
      <c r="Q5" s="7">
        <v>1951.7825927734375</v>
      </c>
      <c r="R5" s="7">
        <v>2013.19091796875</v>
      </c>
      <c r="S5" s="7">
        <v>2252.024169921875</v>
      </c>
      <c r="T5" s="7">
        <v>2450.096435546875</v>
      </c>
      <c r="U5" s="7">
        <v>2540.4697265625</v>
      </c>
      <c r="V5" s="7">
        <v>2695.9208984375</v>
      </c>
      <c r="W5" s="7">
        <v>2832.885009765625</v>
      </c>
      <c r="X5" s="7">
        <v>2989.14404296875</v>
      </c>
      <c r="Y5" s="7">
        <v>3215.820556640625</v>
      </c>
      <c r="Z5" s="7">
        <v>3601.936767578125</v>
      </c>
      <c r="AA5" s="7">
        <v>3960.28662109375</v>
      </c>
      <c r="AB5" s="7">
        <v>4375.384765625</v>
      </c>
      <c r="AC5" s="7">
        <v>4766.5009765625</v>
      </c>
      <c r="AD5" s="7">
        <v>5264.1904296875</v>
      </c>
      <c r="AE5" s="7">
        <v>5283.27001953125</v>
      </c>
      <c r="AF5" s="7">
        <v>5704.60107421875</v>
      </c>
      <c r="AG5" s="7">
        <v>6032.4140625</v>
      </c>
      <c r="AH5" s="7">
        <v>6148.27685546875</v>
      </c>
      <c r="AI5" s="7">
        <v>6222.64111328125</v>
      </c>
      <c r="AJ5" s="7">
        <v>6341.60888671875</v>
      </c>
      <c r="AK5" s="7">
        <v>6110.4345703125</v>
      </c>
      <c r="AL5" s="7">
        <v>5960.5712890625</v>
      </c>
    </row>
    <row r="6" spans="1:38" x14ac:dyDescent="0.2">
      <c r="A6" s="1" t="s">
        <v>36</v>
      </c>
      <c r="B6" s="7">
        <v>539.15399169921875</v>
      </c>
      <c r="C6" s="7">
        <v>550.3199462890625</v>
      </c>
      <c r="D6" s="7">
        <v>563.83074951171875</v>
      </c>
      <c r="E6" s="7">
        <v>578.04351806640625</v>
      </c>
      <c r="F6" s="7">
        <v>592.7183837890625</v>
      </c>
      <c r="G6" s="7">
        <v>607.82965087890625</v>
      </c>
      <c r="H6" s="7">
        <v>623.600341796875</v>
      </c>
      <c r="I6" s="7">
        <v>639.9691162109375</v>
      </c>
      <c r="J6" s="7">
        <v>656.858642578125</v>
      </c>
      <c r="K6" s="7">
        <v>674.60888671875</v>
      </c>
      <c r="L6" s="7">
        <v>693.35394287109375</v>
      </c>
      <c r="M6" s="7">
        <v>626.58306884765625</v>
      </c>
      <c r="N6" s="7">
        <v>614.54547119140625</v>
      </c>
      <c r="O6" s="7">
        <v>650.37335205078125</v>
      </c>
      <c r="P6" s="7">
        <v>758.88006591796875</v>
      </c>
      <c r="Q6" s="7">
        <v>939.5548095703125</v>
      </c>
      <c r="R6" s="7">
        <v>1769.156982421875</v>
      </c>
      <c r="S6" s="7">
        <v>2356.634033203125</v>
      </c>
      <c r="T6" s="7">
        <v>2700.55224609375</v>
      </c>
      <c r="U6" s="7">
        <v>2884.158203125</v>
      </c>
      <c r="V6" s="7">
        <v>2972.200927734375</v>
      </c>
      <c r="W6" s="7">
        <v>3089.302978515625</v>
      </c>
      <c r="X6" s="7">
        <v>3249.39794921875</v>
      </c>
      <c r="Y6" s="7">
        <v>3365.218505859375</v>
      </c>
      <c r="Z6" s="7">
        <v>3539.036376953125</v>
      </c>
      <c r="AA6" s="7">
        <v>3832.972900390625</v>
      </c>
      <c r="AB6" s="7">
        <v>4037.766845703125</v>
      </c>
      <c r="AC6" s="7">
        <v>4271.89453125</v>
      </c>
      <c r="AD6" s="7">
        <v>4509.4140625</v>
      </c>
      <c r="AE6" s="7">
        <v>4382.265625</v>
      </c>
      <c r="AF6" s="7">
        <v>4418.20654296875</v>
      </c>
      <c r="AG6" s="7">
        <v>4461.25146484375</v>
      </c>
      <c r="AH6" s="7">
        <v>4423.109375</v>
      </c>
      <c r="AI6" s="7">
        <v>4533.18212890625</v>
      </c>
      <c r="AJ6" s="7">
        <v>4587.0546875</v>
      </c>
      <c r="AK6" s="7">
        <v>4731.00341796875</v>
      </c>
      <c r="AL6" s="7">
        <v>4831.46533203125</v>
      </c>
    </row>
    <row r="7" spans="1:38" x14ac:dyDescent="0.2">
      <c r="A7" s="1" t="s">
        <v>22</v>
      </c>
      <c r="B7" s="7">
        <v>3230.374755859375</v>
      </c>
      <c r="C7" s="7">
        <v>3378.76806640625</v>
      </c>
      <c r="D7" s="7">
        <v>3448.83740234375</v>
      </c>
      <c r="E7" s="7">
        <v>3559.862548828125</v>
      </c>
      <c r="F7" s="7">
        <v>3673.356201171875</v>
      </c>
      <c r="G7" s="7">
        <v>3765.474853515625</v>
      </c>
      <c r="H7" s="7">
        <v>3917.254638671875</v>
      </c>
      <c r="I7" s="7">
        <v>4148.31884765625</v>
      </c>
      <c r="J7" s="7">
        <v>4597.18115234375</v>
      </c>
      <c r="K7" s="7">
        <v>4441.96826171875</v>
      </c>
      <c r="L7" s="7">
        <v>4080.563720703125</v>
      </c>
      <c r="M7" s="7">
        <v>3787.757568359375</v>
      </c>
      <c r="N7" s="7">
        <v>3558.485107421875</v>
      </c>
      <c r="O7" s="7">
        <v>3595.77734375</v>
      </c>
      <c r="P7" s="7">
        <v>3695.608154296875</v>
      </c>
      <c r="Q7" s="7">
        <v>3837.632568359375</v>
      </c>
      <c r="R7" s="7">
        <v>3937.01416015625</v>
      </c>
      <c r="S7" s="7">
        <v>3933.462890625</v>
      </c>
      <c r="T7" s="7">
        <v>4113.4560546875</v>
      </c>
      <c r="U7" s="7">
        <v>3916.35888671875</v>
      </c>
      <c r="V7" s="7">
        <v>4143.728515625</v>
      </c>
      <c r="W7" s="7">
        <v>4353.7109375</v>
      </c>
      <c r="X7" s="7">
        <v>4652.93017578125</v>
      </c>
      <c r="Y7" s="7">
        <v>4928.11865234375</v>
      </c>
      <c r="Z7" s="7">
        <v>5290.3017578125</v>
      </c>
      <c r="AA7" s="7">
        <v>5713.75634765625</v>
      </c>
      <c r="AB7" s="7">
        <v>6142.13720703125</v>
      </c>
      <c r="AC7" s="7">
        <v>6656.65087890625</v>
      </c>
      <c r="AD7" s="7">
        <v>7074.1357421875</v>
      </c>
      <c r="AE7" s="7">
        <v>6809.7509765625</v>
      </c>
      <c r="AF7" s="7">
        <v>6847.45166015625</v>
      </c>
      <c r="AG7" s="7">
        <v>7017.10400390625</v>
      </c>
      <c r="AH7" s="7">
        <v>7059.5078125</v>
      </c>
      <c r="AI7" s="7">
        <v>7160.19384765625</v>
      </c>
      <c r="AJ7" s="7">
        <v>7295.26953125</v>
      </c>
      <c r="AK7" s="7">
        <v>7602.6005859375</v>
      </c>
      <c r="AL7" s="7">
        <v>7910.8173828125</v>
      </c>
    </row>
    <row r="8" spans="1:38" x14ac:dyDescent="0.2">
      <c r="A8" s="1" t="s">
        <v>12</v>
      </c>
      <c r="K8" s="7">
        <v>13306.3125</v>
      </c>
      <c r="L8" s="7">
        <v>12336.064453125</v>
      </c>
      <c r="M8" s="7">
        <v>9727.1923828125</v>
      </c>
      <c r="N8" s="7">
        <v>8688.107421875</v>
      </c>
      <c r="O8" s="7">
        <v>8633.7421875</v>
      </c>
      <c r="P8" s="7">
        <v>8648.732421875</v>
      </c>
      <c r="Q8" s="7">
        <v>8830.8193359375</v>
      </c>
      <c r="R8" s="7">
        <v>9424.1201171875</v>
      </c>
      <c r="S8" s="7">
        <v>10097.93359375</v>
      </c>
      <c r="T8" s="7">
        <v>10344.1787109375</v>
      </c>
      <c r="U8" s="7">
        <v>10274.994140625</v>
      </c>
      <c r="V8" s="7">
        <v>10656.1611328125</v>
      </c>
      <c r="W8" s="7">
        <v>10951.5927734375</v>
      </c>
      <c r="X8" s="7">
        <v>11464.529296875</v>
      </c>
      <c r="Y8" s="7">
        <v>12105.6171875</v>
      </c>
      <c r="Z8" s="7">
        <v>12598.25390625</v>
      </c>
      <c r="AA8" s="7">
        <v>13121.283203125</v>
      </c>
      <c r="AB8" s="7">
        <v>13753.3720703125</v>
      </c>
      <c r="AC8" s="7">
        <v>14472.234375</v>
      </c>
      <c r="AD8" s="7">
        <v>14779.6982421875</v>
      </c>
      <c r="AE8" s="7">
        <v>13704.8603515625</v>
      </c>
      <c r="AF8" s="7">
        <v>13506.6552734375</v>
      </c>
      <c r="AG8" s="7">
        <v>13510.87109375</v>
      </c>
      <c r="AH8" s="7">
        <v>13257.2412109375</v>
      </c>
      <c r="AI8" s="7">
        <v>13159.9462890625</v>
      </c>
      <c r="AJ8" s="7">
        <v>13150.5732421875</v>
      </c>
      <c r="AK8" s="7">
        <v>13432.7158203125</v>
      </c>
      <c r="AL8" s="7">
        <v>13895.248046875</v>
      </c>
    </row>
    <row r="9" spans="1:38" x14ac:dyDescent="0.2">
      <c r="A9" s="1" t="s">
        <v>37</v>
      </c>
      <c r="B9" s="7">
        <v>10805.8974609375</v>
      </c>
      <c r="C9" s="7">
        <v>11130.1748046875</v>
      </c>
      <c r="D9" s="7">
        <v>11467.947265625</v>
      </c>
      <c r="E9" s="7">
        <v>11818.970703125</v>
      </c>
      <c r="F9" s="7">
        <v>12181.7421875</v>
      </c>
      <c r="G9" s="7">
        <v>12557.35546875</v>
      </c>
      <c r="H9" s="7">
        <v>12947.3984375</v>
      </c>
      <c r="I9" s="7">
        <v>13344.26171875</v>
      </c>
      <c r="J9" s="7">
        <v>13754.0546875</v>
      </c>
      <c r="K9" s="7">
        <v>14178.6552734375</v>
      </c>
      <c r="L9" s="7">
        <v>13980.4697265625</v>
      </c>
      <c r="M9" s="7">
        <v>12361.8681640625</v>
      </c>
      <c r="N9" s="7">
        <v>12286.6787109375</v>
      </c>
      <c r="O9" s="7">
        <v>12281.5078125</v>
      </c>
      <c r="P9" s="7">
        <v>12634.25</v>
      </c>
      <c r="Q9" s="7">
        <v>13428.5126953125</v>
      </c>
      <c r="R9" s="7">
        <v>14019.943359375</v>
      </c>
      <c r="S9" s="7">
        <v>13940.431640625</v>
      </c>
      <c r="T9" s="7">
        <v>13909.5517578125</v>
      </c>
      <c r="U9" s="7">
        <v>14124.005859375</v>
      </c>
      <c r="V9" s="7">
        <v>14747.0595703125</v>
      </c>
      <c r="W9" s="7">
        <v>15224.6044921875</v>
      </c>
      <c r="X9" s="7">
        <v>15497.0859375</v>
      </c>
      <c r="Y9" s="7">
        <v>16051.3310546875</v>
      </c>
      <c r="Z9" s="7">
        <v>16831.23828125</v>
      </c>
      <c r="AA9" s="7">
        <v>17880.98046875</v>
      </c>
      <c r="AB9" s="7">
        <v>19048.78125</v>
      </c>
      <c r="AC9" s="7">
        <v>19975.9296875</v>
      </c>
      <c r="AD9" s="7">
        <v>20340.509765625</v>
      </c>
      <c r="AE9" s="7">
        <v>19240.025390625</v>
      </c>
      <c r="AF9" s="7">
        <v>19620.76171875</v>
      </c>
      <c r="AG9" s="7">
        <v>19971.822265625</v>
      </c>
      <c r="AH9" s="7">
        <v>19777.498046875</v>
      </c>
      <c r="AI9" s="7">
        <v>19648.345703125</v>
      </c>
      <c r="AJ9" s="7">
        <v>20148.236328125</v>
      </c>
      <c r="AK9" s="7">
        <v>21027.66796875</v>
      </c>
      <c r="AL9" s="7">
        <v>21505.30078125</v>
      </c>
    </row>
    <row r="10" spans="1:38" x14ac:dyDescent="0.2">
      <c r="A10" s="1" t="s">
        <v>13</v>
      </c>
      <c r="B10" s="7">
        <v>8713.8046875</v>
      </c>
      <c r="C10" s="7">
        <v>8772.6044921875</v>
      </c>
      <c r="D10" s="7">
        <v>9206.52734375</v>
      </c>
      <c r="E10" s="7">
        <v>9480.1650390625</v>
      </c>
      <c r="F10" s="7">
        <v>9672.466796875</v>
      </c>
      <c r="G10" s="7">
        <v>9644.3818359375</v>
      </c>
      <c r="H10" s="7">
        <v>9676.177734375</v>
      </c>
      <c r="I10" s="7">
        <v>9937.4560546875</v>
      </c>
      <c r="J10" s="7">
        <v>10176.19140625</v>
      </c>
      <c r="K10" s="7">
        <v>10476.705078125</v>
      </c>
      <c r="L10" s="7">
        <v>9746.626953125</v>
      </c>
      <c r="M10" s="7">
        <v>9023.115234375</v>
      </c>
      <c r="N10" s="7">
        <v>7256.50244140625</v>
      </c>
      <c r="O10" s="7">
        <v>7010.95751953125</v>
      </c>
      <c r="P10" s="7">
        <v>6983.17626953125</v>
      </c>
      <c r="Q10" s="7">
        <v>7263.7958984375</v>
      </c>
      <c r="R10" s="7">
        <v>7750.609375</v>
      </c>
      <c r="S10" s="7">
        <v>8753.82421875</v>
      </c>
      <c r="T10" s="7">
        <v>9194.775390625</v>
      </c>
      <c r="U10" s="7">
        <v>9189.59765625</v>
      </c>
      <c r="V10" s="7">
        <v>10235.0341796875</v>
      </c>
      <c r="W10" s="7">
        <v>10964.412109375</v>
      </c>
      <c r="X10" s="7">
        <v>11717.408203125</v>
      </c>
      <c r="Y10" s="7">
        <v>12677.5791015625</v>
      </c>
      <c r="Z10" s="7">
        <v>13567.380859375</v>
      </c>
      <c r="AA10" s="7">
        <v>14935.5576171875</v>
      </c>
      <c r="AB10" s="7">
        <v>16578.751953125</v>
      </c>
      <c r="AC10" s="7">
        <v>17955.953125</v>
      </c>
      <c r="AD10" s="7">
        <v>17043.064453125</v>
      </c>
      <c r="AE10" s="7">
        <v>14578.685546875</v>
      </c>
      <c r="AF10" s="7">
        <v>14960.57421875</v>
      </c>
      <c r="AG10" s="7">
        <v>16166.427734375</v>
      </c>
      <c r="AH10" s="7">
        <v>16972.240234375</v>
      </c>
      <c r="AI10" s="7">
        <v>17335.13671875</v>
      </c>
      <c r="AJ10" s="7">
        <v>17926.42578125</v>
      </c>
      <c r="AK10" s="7">
        <v>18286.609375</v>
      </c>
      <c r="AL10" s="7">
        <v>18675.224609375</v>
      </c>
    </row>
    <row r="11" spans="1:38" x14ac:dyDescent="0.2">
      <c r="A11" s="1" t="s">
        <v>26</v>
      </c>
      <c r="B11" s="7">
        <v>3487.37109375</v>
      </c>
      <c r="C11" s="7">
        <v>3651.20166015625</v>
      </c>
      <c r="D11" s="7">
        <v>3703.7919921875</v>
      </c>
      <c r="E11" s="7">
        <v>3840.75439453125</v>
      </c>
      <c r="F11" s="7">
        <v>4025.028564453125</v>
      </c>
      <c r="G11" s="7">
        <v>4198.5263671875</v>
      </c>
      <c r="H11" s="7">
        <v>3836.0673828125</v>
      </c>
      <c r="I11" s="7">
        <v>3869.67919921875</v>
      </c>
      <c r="J11" s="7">
        <v>4023.027099609375</v>
      </c>
      <c r="K11" s="7">
        <v>3679.712158203125</v>
      </c>
      <c r="L11" s="7">
        <v>3116.462890625</v>
      </c>
      <c r="M11" s="7">
        <v>2459.211181640625</v>
      </c>
      <c r="N11" s="7">
        <v>1369.9752197265625</v>
      </c>
      <c r="O11" s="7">
        <v>987.43603515625</v>
      </c>
      <c r="P11" s="7">
        <v>905.84613037109375</v>
      </c>
      <c r="Q11" s="7">
        <v>948.64935302734375</v>
      </c>
      <c r="R11" s="7">
        <v>1070.9532470703125</v>
      </c>
      <c r="S11" s="7">
        <v>1195.44677734375</v>
      </c>
      <c r="T11" s="7">
        <v>1241.1490478515625</v>
      </c>
      <c r="U11" s="7">
        <v>1284.7879638671875</v>
      </c>
      <c r="V11" s="7">
        <v>1317.458740234375</v>
      </c>
      <c r="W11" s="7">
        <v>1388.129150390625</v>
      </c>
      <c r="X11" s="7">
        <v>1469.7421875</v>
      </c>
      <c r="Y11" s="7">
        <v>1640.591552734375</v>
      </c>
      <c r="Z11" s="7">
        <v>1739.544921875</v>
      </c>
      <c r="AA11" s="7">
        <v>1887.76953125</v>
      </c>
      <c r="AB11" s="7">
        <v>2047.4710693359375</v>
      </c>
      <c r="AC11" s="7">
        <v>2303.243896484375</v>
      </c>
      <c r="AD11" s="7">
        <v>2356.85546875</v>
      </c>
      <c r="AE11" s="7">
        <v>2255.817138671875</v>
      </c>
      <c r="AF11" s="7">
        <v>2373.7919921875</v>
      </c>
      <c r="AG11" s="7">
        <v>2526.969970703125</v>
      </c>
      <c r="AH11" s="7">
        <v>2680.96875</v>
      </c>
      <c r="AI11" s="7">
        <v>2776.32421875</v>
      </c>
      <c r="AJ11" s="7">
        <v>2908.376953125</v>
      </c>
      <c r="AK11" s="7">
        <v>2994.971435546875</v>
      </c>
      <c r="AL11" s="7">
        <v>3079.1357421875</v>
      </c>
    </row>
    <row r="12" spans="1:38" x14ac:dyDescent="0.2">
      <c r="A12" s="1" t="s">
        <v>9</v>
      </c>
      <c r="B12" s="7">
        <v>7821.2919921875</v>
      </c>
      <c r="C12" s="7">
        <v>8045.701171875</v>
      </c>
      <c r="D12" s="7">
        <v>8278.642578125</v>
      </c>
      <c r="E12" s="7">
        <v>8351.6142578125</v>
      </c>
      <c r="F12" s="7">
        <v>8590.0234375</v>
      </c>
      <c r="G12" s="7">
        <v>8584.52734375</v>
      </c>
      <c r="H12" s="7">
        <v>8734.4072265625</v>
      </c>
      <c r="I12" s="7">
        <v>9099.4619140625</v>
      </c>
      <c r="J12" s="7">
        <v>9444.8251953125</v>
      </c>
      <c r="K12" s="7">
        <v>9557.564453125</v>
      </c>
      <c r="L12" s="7">
        <v>9244.2236328125</v>
      </c>
      <c r="M12" s="7">
        <v>8792.923828125</v>
      </c>
      <c r="N12" s="7">
        <v>8535.60546875</v>
      </c>
      <c r="O12" s="7">
        <v>8529.990234375</v>
      </c>
      <c r="P12" s="7">
        <v>8809.9345703125</v>
      </c>
      <c r="Q12" s="7">
        <v>8954.8544921875</v>
      </c>
      <c r="R12" s="7">
        <v>8974.1279296875</v>
      </c>
      <c r="S12" s="7">
        <v>9297.7607421875</v>
      </c>
      <c r="T12" s="7">
        <v>9717.716796875</v>
      </c>
      <c r="U12" s="7">
        <v>10057.5546875</v>
      </c>
      <c r="V12" s="7">
        <v>10505.185546875</v>
      </c>
      <c r="W12" s="7">
        <v>10920.490234375</v>
      </c>
      <c r="X12" s="7">
        <v>11431.6025390625</v>
      </c>
      <c r="Y12" s="7">
        <v>11893.626953125</v>
      </c>
      <c r="Z12" s="7">
        <v>12512.9775390625</v>
      </c>
      <c r="AA12" s="7">
        <v>13080.8671875</v>
      </c>
      <c r="AB12" s="7">
        <v>13600.587890625</v>
      </c>
      <c r="AC12" s="7">
        <v>13677.958984375</v>
      </c>
      <c r="AD12" s="7">
        <v>13818.513671875</v>
      </c>
      <c r="AE12" s="7">
        <v>12928.693359375</v>
      </c>
      <c r="AF12" s="7">
        <v>13035.5498046875</v>
      </c>
      <c r="AG12" s="7">
        <v>13283.9326171875</v>
      </c>
      <c r="AH12" s="7">
        <v>13094.16796875</v>
      </c>
      <c r="AI12" s="7">
        <v>13396.9267578125</v>
      </c>
      <c r="AJ12" s="7">
        <v>13967.7294921875</v>
      </c>
      <c r="AK12" s="7">
        <v>14438.869140625</v>
      </c>
      <c r="AL12" s="7">
        <v>14754.9833984375</v>
      </c>
    </row>
    <row r="13" spans="1:38" x14ac:dyDescent="0.2">
      <c r="A13" s="1" t="s">
        <v>7</v>
      </c>
      <c r="B13" s="7">
        <v>4809.95751953125</v>
      </c>
      <c r="C13" s="7">
        <v>4892.365234375</v>
      </c>
      <c r="D13" s="7">
        <v>4977.69140625</v>
      </c>
      <c r="E13" s="7">
        <v>5066.3232421875</v>
      </c>
      <c r="F13" s="7">
        <v>5157.04833984375</v>
      </c>
      <c r="G13" s="7">
        <v>5251.3798828125</v>
      </c>
      <c r="H13" s="7">
        <v>5348.884765625</v>
      </c>
      <c r="I13" s="7">
        <v>5446.4697265625</v>
      </c>
      <c r="J13" s="7">
        <v>5568.93798828125</v>
      </c>
      <c r="K13" s="7">
        <v>5708.048828125</v>
      </c>
      <c r="L13" s="7">
        <v>5740.1376953125</v>
      </c>
      <c r="M13" s="7">
        <v>5070.2802734375</v>
      </c>
      <c r="N13" s="7">
        <v>4783.888671875</v>
      </c>
      <c r="O13" s="7">
        <v>4359.76513671875</v>
      </c>
      <c r="P13" s="7">
        <v>3865.161376953125</v>
      </c>
      <c r="Q13" s="7">
        <v>3607.365478515625</v>
      </c>
      <c r="R13" s="7">
        <v>3659.63427734375</v>
      </c>
      <c r="S13" s="7">
        <v>3764.548583984375</v>
      </c>
      <c r="T13" s="7">
        <v>3742.35107421875</v>
      </c>
      <c r="U13" s="7">
        <v>3875.519775390625</v>
      </c>
      <c r="V13" s="7">
        <v>4261.3515625</v>
      </c>
      <c r="W13" s="7">
        <v>4821.36279296875</v>
      </c>
      <c r="X13" s="7">
        <v>5272.01611328125</v>
      </c>
      <c r="Y13" s="7">
        <v>5733.15380859375</v>
      </c>
      <c r="Z13" s="7">
        <v>6241.833984375</v>
      </c>
      <c r="AA13" s="7">
        <v>6790.36279296875</v>
      </c>
      <c r="AB13" s="7">
        <v>7442.58447265625</v>
      </c>
      <c r="AC13" s="7">
        <v>8018.2578125</v>
      </c>
      <c r="AD13" s="7">
        <v>8188.431640625</v>
      </c>
      <c r="AE13" s="7">
        <v>8181.71044921875</v>
      </c>
      <c r="AF13" s="7">
        <v>8665.138671875</v>
      </c>
      <c r="AG13" s="7">
        <v>9188.2060546875</v>
      </c>
      <c r="AH13" s="7">
        <v>9509.71484375</v>
      </c>
      <c r="AI13" s="7">
        <v>9958.1728515625</v>
      </c>
      <c r="AJ13" s="7">
        <v>10253.9033203125</v>
      </c>
      <c r="AK13" s="7">
        <v>10257.9013671875</v>
      </c>
      <c r="AL13" s="7">
        <v>10245.80078125</v>
      </c>
    </row>
    <row r="14" spans="1:38" x14ac:dyDescent="0.2">
      <c r="A14" s="1" t="s">
        <v>10</v>
      </c>
      <c r="L14" s="8">
        <v>4806.747953582033</v>
      </c>
      <c r="M14" s="8">
        <v>3450.5274814590757</v>
      </c>
      <c r="N14" s="8">
        <v>2466.3760998805628</v>
      </c>
      <c r="O14" s="8">
        <v>1784.4049595196775</v>
      </c>
      <c r="P14" s="8">
        <v>1738.5740173938391</v>
      </c>
      <c r="Q14" s="8">
        <v>1867.5284165125408</v>
      </c>
      <c r="R14" s="8">
        <v>2054.56356915777</v>
      </c>
      <c r="S14" s="8">
        <v>2266.1866928249542</v>
      </c>
      <c r="T14" s="8">
        <v>2146.8030403349076</v>
      </c>
      <c r="U14" s="8">
        <v>1708.5706806975354</v>
      </c>
      <c r="V14" s="8">
        <v>1868.2348606392568</v>
      </c>
      <c r="W14" s="8">
        <v>2424.3602874927178</v>
      </c>
      <c r="X14" s="8">
        <v>2528.502957389212</v>
      </c>
      <c r="Y14" s="8">
        <v>2420.0055362429298</v>
      </c>
      <c r="Z14" s="8">
        <v>2433.2523949250949</v>
      </c>
      <c r="AA14" s="8">
        <v>2556.8905935453986</v>
      </c>
      <c r="AB14" s="8">
        <v>2662.7488266630166</v>
      </c>
      <c r="AC14" s="8">
        <v>2897.0830842734958</v>
      </c>
      <c r="AD14" s="8">
        <v>3113.9895630093356</v>
      </c>
      <c r="AE14" s="8">
        <v>3235.9601505249962</v>
      </c>
      <c r="AF14" s="8">
        <v>3353.9296184898831</v>
      </c>
      <c r="AG14" s="8">
        <v>3462.9851090636903</v>
      </c>
      <c r="AH14" s="8">
        <v>3563.8120445711875</v>
      </c>
      <c r="AI14" s="8">
        <v>3690.2947238036445</v>
      </c>
      <c r="AJ14" s="8">
        <v>3736.9923875404429</v>
      </c>
      <c r="AK14" s="8">
        <v>3883.4485035883663</v>
      </c>
      <c r="AL14" s="8">
        <v>4028.063372076555</v>
      </c>
    </row>
    <row r="15" spans="1:38" x14ac:dyDescent="0.2">
      <c r="A15" s="1" t="s">
        <v>14</v>
      </c>
      <c r="B15" s="7">
        <v>846.09405517578125</v>
      </c>
      <c r="C15" s="7">
        <v>854.334716796875</v>
      </c>
      <c r="D15" s="7">
        <v>861.80078125</v>
      </c>
      <c r="E15" s="7">
        <v>868.13983154296875</v>
      </c>
      <c r="F15" s="7">
        <v>874.26116943359375</v>
      </c>
      <c r="G15" s="7">
        <v>880.85931396484375</v>
      </c>
      <c r="H15" s="7">
        <v>911.3363037109375</v>
      </c>
      <c r="I15" s="7">
        <v>919.86212158203125</v>
      </c>
      <c r="J15" s="7">
        <v>1022.2133178710938</v>
      </c>
      <c r="K15" s="7">
        <v>1034.1578369140625</v>
      </c>
      <c r="L15" s="7">
        <v>1073.431396484375</v>
      </c>
      <c r="M15" s="7">
        <v>975.08990478515625</v>
      </c>
      <c r="N15" s="7">
        <v>831.5914306640625</v>
      </c>
      <c r="O15" s="7">
        <v>704.4678955078125</v>
      </c>
      <c r="P15" s="7">
        <v>563.88677978515625</v>
      </c>
      <c r="Q15" s="7">
        <v>528.1390380859375</v>
      </c>
      <c r="R15" s="7">
        <v>557.6552734375</v>
      </c>
      <c r="S15" s="7">
        <v>604.56219482421875</v>
      </c>
      <c r="T15" s="7">
        <v>608.90283203125</v>
      </c>
      <c r="U15" s="7">
        <v>622.5755615234375</v>
      </c>
      <c r="V15" s="7">
        <v>649.17974853515625</v>
      </c>
      <c r="W15" s="7">
        <v>678.2716064453125</v>
      </c>
      <c r="X15" s="7">
        <v>673.13214111328125</v>
      </c>
      <c r="Y15" s="7">
        <v>713.99212646484375</v>
      </c>
      <c r="Z15" s="7">
        <v>756.0655517578125</v>
      </c>
      <c r="AA15" s="7">
        <v>747.3270263671875</v>
      </c>
      <c r="AB15" s="7">
        <v>763.34423828125</v>
      </c>
      <c r="AC15" s="7">
        <v>821.80902099609375</v>
      </c>
      <c r="AD15" s="7">
        <v>883.60333251953125</v>
      </c>
      <c r="AE15" s="7">
        <v>899.0130615234375</v>
      </c>
      <c r="AF15" s="7">
        <v>886.12628173828125</v>
      </c>
      <c r="AG15" s="7">
        <v>931.96319580078125</v>
      </c>
      <c r="AH15" s="7">
        <v>923.35595703125</v>
      </c>
      <c r="AI15" s="7">
        <v>1014.6739501953125</v>
      </c>
      <c r="AJ15" s="7">
        <v>1044.9256591796875</v>
      </c>
      <c r="AK15" s="7">
        <v>1073.78955078125</v>
      </c>
      <c r="AL15" s="7">
        <v>1102.6900634765625</v>
      </c>
    </row>
    <row r="16" spans="1:38" x14ac:dyDescent="0.2">
      <c r="A16" s="1" t="s">
        <v>20</v>
      </c>
      <c r="B16" s="7">
        <v>8730.0107421875</v>
      </c>
      <c r="C16" s="7">
        <v>9054.8369140625</v>
      </c>
      <c r="D16" s="7">
        <v>9212.265625</v>
      </c>
      <c r="E16" s="7">
        <v>9626.724609375</v>
      </c>
      <c r="F16" s="7">
        <v>10109.1513671875</v>
      </c>
      <c r="G16" s="7">
        <v>10000.0615234375</v>
      </c>
      <c r="H16" s="7">
        <v>10390.015625</v>
      </c>
      <c r="I16" s="7">
        <v>10543.5673828125</v>
      </c>
      <c r="J16" s="7">
        <v>11018.103515625</v>
      </c>
      <c r="K16" s="7">
        <v>11630.390625</v>
      </c>
      <c r="L16" s="7">
        <v>10722.2802734375</v>
      </c>
      <c r="M16" s="7">
        <v>9415.662109375</v>
      </c>
      <c r="N16" s="7">
        <v>6485.52880859375</v>
      </c>
      <c r="O16" s="7">
        <v>5864.3466796875</v>
      </c>
      <c r="P16" s="7">
        <v>6097.35546875</v>
      </c>
      <c r="Q16" s="7">
        <v>5142.89013671875</v>
      </c>
      <c r="R16" s="7">
        <v>5323.73486328125</v>
      </c>
      <c r="S16" s="7">
        <v>5859.5751953125</v>
      </c>
      <c r="T16" s="7">
        <v>6300.8701171875</v>
      </c>
      <c r="U16" s="7">
        <v>6518.77587890625</v>
      </c>
      <c r="V16" s="7">
        <v>6921.9462890625</v>
      </c>
      <c r="W16" s="7">
        <v>7425.45849609375</v>
      </c>
      <c r="X16" s="7">
        <v>8021.3349609375</v>
      </c>
      <c r="Y16" s="7">
        <v>8781.4921875</v>
      </c>
      <c r="Z16" s="7">
        <v>9616.978515625</v>
      </c>
      <c r="AA16" s="7">
        <v>10760.357421875</v>
      </c>
      <c r="AB16" s="7">
        <v>12149.6689453125</v>
      </c>
      <c r="AC16" s="7">
        <v>13466.9794921875</v>
      </c>
      <c r="AD16" s="7">
        <v>13116.849609375</v>
      </c>
      <c r="AE16" s="7">
        <v>11425.927734375</v>
      </c>
      <c r="AF16" s="7">
        <v>11231.009765625</v>
      </c>
      <c r="AG16" s="7">
        <v>12171.228515625</v>
      </c>
      <c r="AH16" s="7">
        <v>12815.41796875</v>
      </c>
      <c r="AI16" s="7">
        <v>13292.4775390625</v>
      </c>
      <c r="AJ16" s="7">
        <v>13720.9814453125</v>
      </c>
      <c r="AK16" s="7">
        <v>14242.2578125</v>
      </c>
      <c r="AL16" s="7">
        <v>14675.2958984375</v>
      </c>
    </row>
    <row r="17" spans="1:49" x14ac:dyDescent="0.2">
      <c r="A17" s="1" t="s">
        <v>21</v>
      </c>
      <c r="B17" s="7">
        <v>7370.23779296875</v>
      </c>
      <c r="C17" s="7">
        <v>7538.81982421875</v>
      </c>
      <c r="D17" s="7">
        <v>7706.02294921875</v>
      </c>
      <c r="E17" s="7">
        <v>7873.54052734375</v>
      </c>
      <c r="F17" s="7">
        <v>8044.732421875</v>
      </c>
      <c r="G17" s="7">
        <v>8219.6044921875</v>
      </c>
      <c r="H17" s="7">
        <v>8397.5908203125</v>
      </c>
      <c r="I17" s="7">
        <v>8577.3427734375</v>
      </c>
      <c r="J17" s="7">
        <v>8793.0107421875</v>
      </c>
      <c r="K17" s="7">
        <v>9046.9853515625</v>
      </c>
      <c r="L17" s="7">
        <v>9229.416015625</v>
      </c>
      <c r="M17" s="7">
        <v>8749.9912109375</v>
      </c>
      <c r="N17" s="7">
        <v>6980.17626953125</v>
      </c>
      <c r="O17" s="7">
        <v>5951.3583984375</v>
      </c>
      <c r="P17" s="7">
        <v>5419.52978515625</v>
      </c>
      <c r="Q17" s="7">
        <v>5503.4794921875</v>
      </c>
      <c r="R17" s="7">
        <v>5802.072265625</v>
      </c>
      <c r="S17" s="7">
        <v>6292.5439453125</v>
      </c>
      <c r="T17" s="7">
        <v>6766.7626953125</v>
      </c>
      <c r="U17" s="7">
        <v>6689.88671875</v>
      </c>
      <c r="V17" s="7">
        <v>6953.7216796875</v>
      </c>
      <c r="W17" s="7">
        <v>7437.28125</v>
      </c>
      <c r="X17" s="7">
        <v>7989.50048828125</v>
      </c>
      <c r="Y17" s="7">
        <v>8906.6923828125</v>
      </c>
      <c r="Z17" s="7">
        <v>9602.986328125</v>
      </c>
      <c r="AA17" s="7">
        <v>10524.9169921875</v>
      </c>
      <c r="AB17" s="7">
        <v>11496.6416015625</v>
      </c>
      <c r="AC17" s="7">
        <v>12931.185546875</v>
      </c>
      <c r="AD17" s="7">
        <v>13414.6005859375</v>
      </c>
      <c r="AE17" s="7">
        <v>11562.033203125</v>
      </c>
      <c r="AF17" s="7">
        <v>12017.896484375</v>
      </c>
      <c r="AG17" s="7">
        <v>13056.7041015625</v>
      </c>
      <c r="AH17" s="7">
        <v>13748.2587890625</v>
      </c>
      <c r="AI17" s="7">
        <v>14374.4423828125</v>
      </c>
      <c r="AJ17" s="7">
        <v>15024.361328125</v>
      </c>
      <c r="AK17" s="7">
        <v>15450.7763671875</v>
      </c>
      <c r="AL17" s="7">
        <v>15973.1943359375</v>
      </c>
    </row>
    <row r="18" spans="1:49" x14ac:dyDescent="0.2">
      <c r="A18" s="1" t="s">
        <v>15</v>
      </c>
      <c r="B18" s="7">
        <v>3481.97607421875</v>
      </c>
      <c r="C18" s="7">
        <v>3521.3935546875</v>
      </c>
      <c r="D18" s="7">
        <v>3562.350341796875</v>
      </c>
      <c r="E18" s="7">
        <v>3619.86083984375</v>
      </c>
      <c r="F18" s="7">
        <v>3681.97314453125</v>
      </c>
      <c r="G18" s="7">
        <v>3741.952880859375</v>
      </c>
      <c r="H18" s="7">
        <v>3806.06591796875</v>
      </c>
      <c r="I18" s="7">
        <v>3871.818115234375</v>
      </c>
      <c r="J18" s="7">
        <v>3945.43212890625</v>
      </c>
      <c r="K18" s="7">
        <v>4017.119140625</v>
      </c>
      <c r="L18" s="7">
        <v>4133.16259765625</v>
      </c>
      <c r="M18" s="7">
        <v>3864.931640625</v>
      </c>
      <c r="N18" s="7">
        <v>3569.814697265625</v>
      </c>
      <c r="O18" s="7">
        <v>3254.590087890625</v>
      </c>
      <c r="P18" s="7">
        <v>3168.500732421875</v>
      </c>
      <c r="Q18" s="7">
        <v>3102.692626953125</v>
      </c>
      <c r="R18" s="7">
        <v>3112.30029296875</v>
      </c>
      <c r="S18" s="7">
        <v>3135.233154296875</v>
      </c>
      <c r="T18" s="7">
        <v>3223.924560546875</v>
      </c>
      <c r="U18" s="7">
        <v>3347.854736328125</v>
      </c>
      <c r="V18" s="7">
        <v>3483.600341796875</v>
      </c>
      <c r="W18" s="7">
        <v>3361.06640625</v>
      </c>
      <c r="X18" s="7">
        <v>3400.3056640625</v>
      </c>
      <c r="Y18" s="7">
        <v>3467.8408203125</v>
      </c>
      <c r="Z18" s="7">
        <v>3621.152587890625</v>
      </c>
      <c r="AA18" s="7">
        <v>3782.594482421875</v>
      </c>
      <c r="AB18" s="7">
        <v>3966.64404296875</v>
      </c>
      <c r="AC18" s="7">
        <v>4212.4111328125</v>
      </c>
      <c r="AD18" s="7">
        <v>4431.26318359375</v>
      </c>
      <c r="AE18" s="7">
        <v>4403.8291015625</v>
      </c>
      <c r="AF18" s="7">
        <v>4539.951171875</v>
      </c>
      <c r="AG18" s="7">
        <v>4634.45654296875</v>
      </c>
      <c r="AH18" s="7">
        <v>4602.14501953125</v>
      </c>
      <c r="AI18" s="7">
        <v>4725.87353515625</v>
      </c>
      <c r="AJ18" s="7">
        <v>4886.7578125</v>
      </c>
      <c r="AK18" s="7">
        <v>5064.08837890625</v>
      </c>
      <c r="AL18" s="7">
        <v>5176.02392578125</v>
      </c>
    </row>
    <row r="19" spans="1:49" x14ac:dyDescent="0.2">
      <c r="A19" s="1" t="s">
        <v>16</v>
      </c>
      <c r="B19" s="7">
        <v>1965.3365478515625</v>
      </c>
      <c r="C19" s="7">
        <v>1936.8553466796875</v>
      </c>
      <c r="D19" s="7">
        <v>2148.65283203125</v>
      </c>
      <c r="E19" s="7">
        <v>2227.100830078125</v>
      </c>
      <c r="F19" s="7">
        <v>2284.78369140625</v>
      </c>
      <c r="G19" s="7">
        <v>2145.677978515625</v>
      </c>
      <c r="H19" s="7">
        <v>2295.93798828125</v>
      </c>
      <c r="I19" s="7">
        <v>2305.135498046875</v>
      </c>
      <c r="J19" s="7">
        <v>2304.26953125</v>
      </c>
      <c r="K19" s="7">
        <v>2381.4560546875</v>
      </c>
      <c r="L19" s="7">
        <v>2316.59375</v>
      </c>
      <c r="M19" s="7">
        <v>1908.7349853515625</v>
      </c>
      <c r="N19" s="7">
        <v>1353.736572265625</v>
      </c>
      <c r="O19" s="7">
        <v>1338.3809814453125</v>
      </c>
      <c r="P19" s="7">
        <v>926.43035888671875</v>
      </c>
      <c r="Q19" s="7">
        <v>917.22869873046875</v>
      </c>
      <c r="R19" s="7">
        <v>867.52593994140625</v>
      </c>
      <c r="S19" s="7">
        <v>887.88092041015625</v>
      </c>
      <c r="T19" s="7">
        <v>837.217529296875</v>
      </c>
      <c r="U19" s="7">
        <v>816.9327392578125</v>
      </c>
      <c r="V19" s="7">
        <v>843.060791015625</v>
      </c>
      <c r="W19" s="7">
        <v>904.24786376953125</v>
      </c>
      <c r="X19" s="7">
        <v>985.79412841796875</v>
      </c>
      <c r="Y19" s="7">
        <v>1063.322998046875</v>
      </c>
      <c r="Z19" s="7">
        <v>1155.2569580078125</v>
      </c>
      <c r="AA19" s="7">
        <v>1256.48046875</v>
      </c>
      <c r="AB19" s="7">
        <v>1332.71728515625</v>
      </c>
      <c r="AC19" s="7">
        <v>1388.94775390625</v>
      </c>
      <c r="AD19" s="7">
        <v>1514.443115234375</v>
      </c>
      <c r="AE19" s="7">
        <v>1439.080078125</v>
      </c>
      <c r="AF19" s="7">
        <v>1557.3203125</v>
      </c>
      <c r="AG19" s="7">
        <v>1680.1820068359375</v>
      </c>
      <c r="AH19" s="7">
        <v>1685.4287109375</v>
      </c>
      <c r="AI19" s="7">
        <v>1862.6636962890625</v>
      </c>
      <c r="AJ19" s="7">
        <v>1972.0303955078125</v>
      </c>
      <c r="AK19" s="7">
        <v>1984.322265625</v>
      </c>
      <c r="AL19" s="7">
        <v>2087.075927734375</v>
      </c>
      <c r="AW19" s="7"/>
    </row>
    <row r="20" spans="1:49" x14ac:dyDescent="0.2">
      <c r="A20" s="1" t="s">
        <v>24</v>
      </c>
      <c r="L20" s="8">
        <v>6487.6345748346776</v>
      </c>
      <c r="M20" s="8">
        <v>5779.701062777337</v>
      </c>
      <c r="N20" s="8">
        <v>4410.9968729483289</v>
      </c>
      <c r="O20" s="8">
        <v>2792.0608560304959</v>
      </c>
      <c r="P20" s="8">
        <v>2828.0619251240237</v>
      </c>
      <c r="Q20" s="8">
        <v>3230.747111914784</v>
      </c>
      <c r="R20" s="8">
        <v>4126.8814557881824</v>
      </c>
      <c r="S20" s="8">
        <v>4409.1044171623698</v>
      </c>
      <c r="T20" s="8">
        <v>4625.9553011599091</v>
      </c>
      <c r="U20" s="8">
        <v>4253.0497653856273</v>
      </c>
      <c r="V20" s="8">
        <v>4879.2609597314067</v>
      </c>
      <c r="W20" s="8">
        <v>4936.0223802547262</v>
      </c>
      <c r="X20" s="8">
        <v>5028.3033470564042</v>
      </c>
      <c r="Y20" s="8">
        <v>5147.1393873687084</v>
      </c>
      <c r="Z20" s="8">
        <v>5365.8073768609565</v>
      </c>
      <c r="AA20" s="8">
        <v>5578.8575014414464</v>
      </c>
      <c r="AB20" s="8">
        <v>6042.5976695542249</v>
      </c>
      <c r="AC20" s="8">
        <v>6436.8962667524884</v>
      </c>
      <c r="AD20" s="8">
        <v>6882.696262117166</v>
      </c>
      <c r="AE20" s="8">
        <v>6466.6924269895171</v>
      </c>
      <c r="AF20" s="8">
        <v>6628.2640416148151</v>
      </c>
      <c r="AG20" s="8">
        <v>6829.2773384212815</v>
      </c>
      <c r="AH20" s="8">
        <v>6633.5169325868064</v>
      </c>
      <c r="AI20" s="8">
        <v>6861.1837852598665</v>
      </c>
      <c r="AJ20" s="8">
        <v>6977.1206013941828</v>
      </c>
      <c r="AK20" s="8">
        <v>7207.8865932120661</v>
      </c>
      <c r="AL20" s="8">
        <v>7415.3092085074741</v>
      </c>
    </row>
    <row r="21" spans="1:49" x14ac:dyDescent="0.2">
      <c r="A21" s="1" t="s">
        <v>11</v>
      </c>
      <c r="B21" s="7">
        <v>6558.05224609375</v>
      </c>
      <c r="C21" s="7">
        <v>5850.85693359375</v>
      </c>
      <c r="D21" s="7">
        <v>5521.89697265625</v>
      </c>
      <c r="E21" s="7">
        <v>5774.28955078125</v>
      </c>
      <c r="F21" s="7">
        <v>6045.0078125</v>
      </c>
      <c r="G21" s="7">
        <v>6210.76611328125</v>
      </c>
      <c r="H21" s="7">
        <v>6425.12744140625</v>
      </c>
      <c r="I21" s="7">
        <v>6509.8828125</v>
      </c>
      <c r="J21" s="7">
        <v>6756.33984375</v>
      </c>
      <c r="K21" s="7">
        <v>6748.7607421875</v>
      </c>
      <c r="L21" s="7">
        <v>5946.11328125</v>
      </c>
      <c r="M21" s="7">
        <v>5509.6181640625</v>
      </c>
      <c r="N21" s="7">
        <v>5630.8916015625</v>
      </c>
      <c r="O21" s="7">
        <v>5826.65478515625</v>
      </c>
      <c r="P21" s="7">
        <v>6122.228515625</v>
      </c>
      <c r="Q21" s="7">
        <v>6538.95849609375</v>
      </c>
      <c r="R21" s="7">
        <v>6929.7529296875</v>
      </c>
      <c r="S21" s="7">
        <v>7372.59033203125</v>
      </c>
      <c r="T21" s="7">
        <v>7710.05712890625</v>
      </c>
      <c r="U21" s="7">
        <v>8068.64599609375</v>
      </c>
      <c r="V21" s="7">
        <v>8439.0244140625</v>
      </c>
      <c r="W21" s="7">
        <v>8546.669921875</v>
      </c>
      <c r="X21" s="7">
        <v>8725.1474609375</v>
      </c>
      <c r="Y21" s="7">
        <v>9042.21875</v>
      </c>
      <c r="Z21" s="7">
        <v>9512.78515625</v>
      </c>
      <c r="AA21" s="7">
        <v>9849.6240234375</v>
      </c>
      <c r="AB21" s="7">
        <v>10462.130859375</v>
      </c>
      <c r="AC21" s="7">
        <v>11199.42578125</v>
      </c>
      <c r="AD21" s="7">
        <v>11669.880859375</v>
      </c>
      <c r="AE21" s="7">
        <v>11989.20703125</v>
      </c>
      <c r="AF21" s="7">
        <v>12412.3740234375</v>
      </c>
      <c r="AG21" s="7">
        <v>13029.85546875</v>
      </c>
      <c r="AH21" s="7">
        <v>13239.0166015625</v>
      </c>
      <c r="AI21" s="7">
        <v>13427.669921875</v>
      </c>
      <c r="AJ21" s="7">
        <v>13877.5849609375</v>
      </c>
      <c r="AK21" s="7">
        <v>14422.9521484375</v>
      </c>
      <c r="AL21" s="7">
        <v>14824.26171875</v>
      </c>
    </row>
    <row r="22" spans="1:49" x14ac:dyDescent="0.2">
      <c r="A22" s="1" t="s">
        <v>17</v>
      </c>
      <c r="B22" s="7">
        <v>5254.4345703125</v>
      </c>
      <c r="C22" s="7">
        <v>5230.43701171875</v>
      </c>
      <c r="D22" s="7">
        <v>5412.37548828125</v>
      </c>
      <c r="E22" s="7">
        <v>5726.68896484375</v>
      </c>
      <c r="F22" s="7">
        <v>6056.06787109375</v>
      </c>
      <c r="G22" s="7">
        <v>6032.0224609375</v>
      </c>
      <c r="H22" s="7">
        <v>6151.53466796875</v>
      </c>
      <c r="I22" s="7">
        <v>6179.17919921875</v>
      </c>
      <c r="J22" s="7">
        <v>6126.1845703125</v>
      </c>
      <c r="K22" s="7">
        <v>5750.603515625</v>
      </c>
      <c r="L22" s="7">
        <v>5424.3828125</v>
      </c>
      <c r="M22" s="7">
        <v>4732.00732421875</v>
      </c>
      <c r="N22" s="7">
        <v>4322.54443359375</v>
      </c>
      <c r="O22" s="7">
        <v>4394.6572265625</v>
      </c>
      <c r="P22" s="7">
        <v>4574.02978515625</v>
      </c>
      <c r="Q22" s="7">
        <v>4910.38671875</v>
      </c>
      <c r="R22" s="7">
        <v>5115.04931640625</v>
      </c>
      <c r="S22" s="7">
        <v>4882.67236328125</v>
      </c>
      <c r="T22" s="7">
        <v>4790.60498046875</v>
      </c>
      <c r="U22" s="7">
        <v>4778.81787109375</v>
      </c>
      <c r="V22" s="7">
        <v>4899.58251953125</v>
      </c>
      <c r="W22" s="7">
        <v>5180.9189453125</v>
      </c>
      <c r="X22" s="7">
        <v>5461.62890625</v>
      </c>
      <c r="Y22" s="7">
        <v>5779.12548828125</v>
      </c>
      <c r="Z22" s="7">
        <v>6278.23681640625</v>
      </c>
      <c r="AA22" s="7">
        <v>6555.02880859375</v>
      </c>
      <c r="AB22" s="7">
        <v>7098.00146484375</v>
      </c>
      <c r="AC22" s="7">
        <v>7600.40087890625</v>
      </c>
      <c r="AD22" s="7">
        <v>8260.259765625</v>
      </c>
      <c r="AE22" s="7">
        <v>7693.60693359375</v>
      </c>
      <c r="AF22" s="7">
        <v>7650.43701171875</v>
      </c>
      <c r="AG22" s="7">
        <v>7750.56396484375</v>
      </c>
      <c r="AH22" s="7">
        <v>7820.251953125</v>
      </c>
      <c r="AI22" s="7">
        <v>8117.9921875</v>
      </c>
      <c r="AJ22" s="7">
        <v>8391.0654296875</v>
      </c>
      <c r="AK22" s="7">
        <v>8747.072265625</v>
      </c>
      <c r="AL22" s="7">
        <v>9196.7998046875</v>
      </c>
    </row>
    <row r="23" spans="1:49" x14ac:dyDescent="0.2">
      <c r="A23" s="1" t="s">
        <v>38</v>
      </c>
      <c r="B23" s="7">
        <v>8282.4609375</v>
      </c>
      <c r="C23" s="7">
        <v>8486.060546875</v>
      </c>
      <c r="D23" s="7">
        <v>8691.2490234375</v>
      </c>
      <c r="E23" s="7">
        <v>8894.3681640625</v>
      </c>
      <c r="F23" s="7">
        <v>9101.41015625</v>
      </c>
      <c r="G23" s="7">
        <v>9316.6865234375</v>
      </c>
      <c r="H23" s="7">
        <v>9536.6826171875</v>
      </c>
      <c r="I23" s="7">
        <v>9764.7822265625</v>
      </c>
      <c r="J23" s="7">
        <v>10004.6298828125</v>
      </c>
      <c r="K23" s="7">
        <v>9892.0927734375</v>
      </c>
      <c r="L23" s="7">
        <v>9555.05078125</v>
      </c>
      <c r="M23" s="7">
        <v>9052.861328125</v>
      </c>
      <c r="N23" s="7">
        <v>7729.80908203125</v>
      </c>
      <c r="O23" s="7">
        <v>7057.6337890625</v>
      </c>
      <c r="P23" s="7">
        <v>6164.98046875</v>
      </c>
      <c r="Q23" s="7">
        <v>5904.123046875</v>
      </c>
      <c r="R23" s="7">
        <v>5697.74853515625</v>
      </c>
      <c r="S23" s="7">
        <v>5786.21142578125</v>
      </c>
      <c r="T23" s="7">
        <v>5487.6328125</v>
      </c>
      <c r="U23" s="7">
        <v>5856.86376953125</v>
      </c>
      <c r="V23" s="7">
        <v>6470.8056640625</v>
      </c>
      <c r="W23" s="7">
        <v>6833.748046875</v>
      </c>
      <c r="X23" s="7">
        <v>7197.4814453125</v>
      </c>
      <c r="Y23" s="7">
        <v>7764.88427734375</v>
      </c>
      <c r="Z23" s="7">
        <v>8364.6953125</v>
      </c>
      <c r="AA23" s="7">
        <v>8940.294921875</v>
      </c>
      <c r="AB23" s="7">
        <v>9708.7822265625</v>
      </c>
      <c r="AC23" s="7">
        <v>10559.2177734375</v>
      </c>
      <c r="AD23" s="7">
        <v>11117.1171875</v>
      </c>
      <c r="AE23" s="7">
        <v>10242.744140625</v>
      </c>
      <c r="AF23" s="7">
        <v>10699.1376953125</v>
      </c>
      <c r="AG23" s="7">
        <v>11155.4697265625</v>
      </c>
      <c r="AH23" s="7">
        <v>11548.5546875</v>
      </c>
      <c r="AI23" s="7">
        <v>11697.72265625</v>
      </c>
      <c r="AJ23" s="7">
        <v>11785.78515625</v>
      </c>
      <c r="AK23" s="7">
        <v>11456.1943359375</v>
      </c>
      <c r="AL23" s="7">
        <v>11435.916015625</v>
      </c>
    </row>
    <row r="24" spans="1:49" x14ac:dyDescent="0.2">
      <c r="A24" s="1" t="s">
        <v>19</v>
      </c>
      <c r="B24" s="7">
        <v>4017.0947265625</v>
      </c>
      <c r="C24" s="7">
        <v>4103.09716796875</v>
      </c>
      <c r="D24" s="7">
        <v>4194.00732421875</v>
      </c>
      <c r="E24" s="7">
        <v>4287.158203125</v>
      </c>
      <c r="F24" s="7">
        <v>4382.73828125</v>
      </c>
      <c r="G24" s="7">
        <v>4481.20068359375</v>
      </c>
      <c r="H24" s="7">
        <v>4584.14404296875</v>
      </c>
      <c r="I24" s="7">
        <v>4691.9501953125</v>
      </c>
      <c r="J24" s="7">
        <v>4804.2119140625</v>
      </c>
      <c r="K24" s="7">
        <v>7016.095703125</v>
      </c>
      <c r="L24" s="7">
        <v>6449.13720703125</v>
      </c>
      <c r="M24" s="7">
        <v>5722.345703125</v>
      </c>
      <c r="N24" s="7">
        <v>4133.28515625</v>
      </c>
      <c r="O24" s="7">
        <v>2877.752685546875</v>
      </c>
      <c r="P24" s="7">
        <v>2954.467041015625</v>
      </c>
      <c r="Q24" s="7">
        <v>3126.345947265625</v>
      </c>
      <c r="R24" s="7">
        <v>3195.341552734375</v>
      </c>
      <c r="S24" s="7">
        <v>3431.15380859375</v>
      </c>
      <c r="T24" s="7">
        <v>3523.017822265625</v>
      </c>
      <c r="U24" s="7">
        <v>3094.343505859375</v>
      </c>
      <c r="V24" s="7">
        <v>3366.3701171875</v>
      </c>
      <c r="W24" s="7">
        <v>3560.645751953125</v>
      </c>
      <c r="X24" s="7">
        <v>3816.064697265625</v>
      </c>
      <c r="Y24" s="7">
        <v>3989.36572265625</v>
      </c>
      <c r="Z24" s="7">
        <v>4357.59130859375</v>
      </c>
      <c r="AA24" s="7">
        <v>4611.5029296875</v>
      </c>
      <c r="AB24" s="7">
        <v>4854.55322265625</v>
      </c>
      <c r="AC24" s="7">
        <v>5160.4501953125</v>
      </c>
      <c r="AD24" s="7">
        <v>5461.75244140625</v>
      </c>
      <c r="AE24" s="7">
        <v>5316.3359375</v>
      </c>
      <c r="AF24" s="7">
        <v>5372.52001953125</v>
      </c>
      <c r="AG24" s="7">
        <v>5473.36865234375</v>
      </c>
      <c r="AH24" s="7">
        <v>5443.07763671875</v>
      </c>
      <c r="AI24" s="7">
        <v>5608.9560546875</v>
      </c>
      <c r="AJ24" s="7">
        <v>5531.62744140625</v>
      </c>
      <c r="AK24" s="7">
        <v>5599.146484375</v>
      </c>
      <c r="AL24" s="7">
        <v>5781.21533203125</v>
      </c>
    </row>
    <row r="25" spans="1:49" x14ac:dyDescent="0.2">
      <c r="A25" s="1" t="s">
        <v>4</v>
      </c>
      <c r="B25" s="7">
        <v>8206.9541015625</v>
      </c>
      <c r="C25" s="7">
        <v>8380.224609375</v>
      </c>
      <c r="D25" s="7">
        <v>8580.6171875</v>
      </c>
      <c r="E25" s="7">
        <v>8787.96875</v>
      </c>
      <c r="F25" s="7">
        <v>9008.083984375</v>
      </c>
      <c r="G25" s="7">
        <v>9267.8564453125</v>
      </c>
      <c r="H25" s="7">
        <v>9602.775390625</v>
      </c>
      <c r="I25" s="7">
        <v>9787.4560546875</v>
      </c>
      <c r="J25" s="7">
        <v>9931.8203125</v>
      </c>
      <c r="K25" s="7">
        <v>10010.734375</v>
      </c>
      <c r="L25" s="7">
        <v>9710.109375</v>
      </c>
      <c r="M25" s="7">
        <v>8265.146484375</v>
      </c>
      <c r="N25" s="7">
        <v>7678.66845703125</v>
      </c>
      <c r="O25" s="7">
        <v>7794.25634765625</v>
      </c>
      <c r="P25" s="7">
        <v>8244.345703125</v>
      </c>
      <c r="Q25" s="7">
        <v>8699.5263671875</v>
      </c>
      <c r="R25" s="7">
        <v>9267.322265625</v>
      </c>
      <c r="S25" s="7">
        <v>9811.6904296875</v>
      </c>
      <c r="T25" s="7">
        <v>10191.63671875</v>
      </c>
      <c r="U25" s="7">
        <v>10160.36328125</v>
      </c>
      <c r="V25" s="7">
        <v>10274.5986328125</v>
      </c>
      <c r="W25" s="7">
        <v>10610.7763671875</v>
      </c>
      <c r="X25" s="7">
        <v>11089.2216796875</v>
      </c>
      <c r="Y25" s="7">
        <v>11688.810546875</v>
      </c>
      <c r="Z25" s="7">
        <v>12299.8076171875</v>
      </c>
      <c r="AA25" s="7">
        <v>13125.08984375</v>
      </c>
      <c r="AB25" s="7">
        <v>14231.2001953125</v>
      </c>
      <c r="AC25" s="7">
        <v>15761.4609375</v>
      </c>
      <c r="AD25" s="7">
        <v>16636.544921875</v>
      </c>
      <c r="AE25" s="7">
        <v>15719.798828125</v>
      </c>
      <c r="AF25" s="7">
        <v>16494.708984375</v>
      </c>
      <c r="AG25" s="7">
        <v>16937.12109375</v>
      </c>
      <c r="AH25" s="7">
        <v>17199.845703125</v>
      </c>
      <c r="AI25" s="7">
        <v>17447.9296875</v>
      </c>
      <c r="AJ25" s="7">
        <v>17889.771484375</v>
      </c>
      <c r="AK25" s="7">
        <v>18570.21875</v>
      </c>
      <c r="AL25" s="7">
        <v>19177.548828125</v>
      </c>
    </row>
    <row r="26" spans="1:49" x14ac:dyDescent="0.2">
      <c r="A26" s="1" t="s">
        <v>6</v>
      </c>
      <c r="B26" s="7">
        <v>13763.353515625</v>
      </c>
      <c r="C26" s="7">
        <v>14140.76953125</v>
      </c>
      <c r="D26" s="7">
        <v>14405.830078125</v>
      </c>
      <c r="E26" s="7">
        <v>14714.5751953125</v>
      </c>
      <c r="F26" s="7">
        <v>15026.8212890625</v>
      </c>
      <c r="G26" s="7">
        <v>15347.4580078125</v>
      </c>
      <c r="H26" s="7">
        <v>15675.466796875</v>
      </c>
      <c r="I26" s="7">
        <v>16046.158203125</v>
      </c>
      <c r="J26" s="7">
        <v>16408.31640625</v>
      </c>
      <c r="K26" s="7">
        <v>16532.732421875</v>
      </c>
      <c r="L26" s="7">
        <v>14501.515625</v>
      </c>
      <c r="M26" s="7">
        <v>13156.2373046875</v>
      </c>
      <c r="N26" s="7">
        <v>12447.486328125</v>
      </c>
      <c r="O26" s="7">
        <v>12796.87109375</v>
      </c>
      <c r="P26" s="7">
        <v>13470.94921875</v>
      </c>
      <c r="Q26" s="7">
        <v>14965.37109375</v>
      </c>
      <c r="R26" s="7">
        <v>15456.08203125</v>
      </c>
      <c r="S26" s="7">
        <v>16212.7802734375</v>
      </c>
      <c r="T26" s="7">
        <v>16752.17578125</v>
      </c>
      <c r="U26" s="7">
        <v>17645.873046875</v>
      </c>
      <c r="V26" s="7">
        <v>18370.87109375</v>
      </c>
      <c r="W26" s="7">
        <v>18906.845703125</v>
      </c>
      <c r="X26" s="7">
        <v>19629.068359375</v>
      </c>
      <c r="Y26" s="7">
        <v>20185.8671875</v>
      </c>
      <c r="Z26" s="7">
        <v>21065.6875</v>
      </c>
      <c r="AA26" s="7">
        <v>21913.33984375</v>
      </c>
      <c r="AB26" s="7">
        <v>23161.083984375</v>
      </c>
      <c r="AC26" s="7">
        <v>24782.4296875</v>
      </c>
      <c r="AD26" s="7">
        <v>25619.841796875</v>
      </c>
      <c r="AE26" s="7">
        <v>23645.97265625</v>
      </c>
      <c r="AF26" s="7">
        <v>23969.1953125</v>
      </c>
      <c r="AG26" s="7">
        <v>24161.560546875</v>
      </c>
      <c r="AH26" s="7">
        <v>23552.677734375</v>
      </c>
      <c r="AI26" s="7">
        <v>23342.587890625</v>
      </c>
      <c r="AJ26" s="7">
        <v>24120.912109375</v>
      </c>
      <c r="AK26" s="7">
        <v>24740.4296875</v>
      </c>
      <c r="AL26" s="7">
        <v>25425.94921875</v>
      </c>
    </row>
    <row r="27" spans="1:49" x14ac:dyDescent="0.2">
      <c r="A27" s="1" t="s">
        <v>28</v>
      </c>
      <c r="B27" s="7">
        <v>1591.0096435546875</v>
      </c>
      <c r="C27" s="7">
        <v>1581.011962890625</v>
      </c>
      <c r="D27" s="7">
        <v>1569.99365234375</v>
      </c>
      <c r="E27" s="7">
        <v>1557.8055419921875</v>
      </c>
      <c r="F27" s="7">
        <v>1544.1982421875</v>
      </c>
      <c r="G27" s="7">
        <v>1364.936279296875</v>
      </c>
      <c r="H27" s="7">
        <v>1368.755859375</v>
      </c>
      <c r="I27" s="7">
        <v>1310.8758544921875</v>
      </c>
      <c r="J27" s="7">
        <v>1451.0018310546875</v>
      </c>
      <c r="K27" s="7">
        <v>1319.1160888671875</v>
      </c>
      <c r="L27" s="7">
        <v>1280.3565673828125</v>
      </c>
      <c r="M27" s="7">
        <v>1159.791015625</v>
      </c>
      <c r="N27" s="7">
        <v>809.54833984375</v>
      </c>
      <c r="O27" s="7">
        <v>671.09649658203125</v>
      </c>
      <c r="P27" s="7">
        <v>522.700439453125</v>
      </c>
      <c r="Q27" s="7">
        <v>451.93951416015625</v>
      </c>
      <c r="R27" s="7">
        <v>370.840087890625</v>
      </c>
      <c r="S27" s="7">
        <v>370.69271850585938</v>
      </c>
      <c r="T27" s="7">
        <v>382.5892333984375</v>
      </c>
      <c r="U27" s="7">
        <v>388.47543334960938</v>
      </c>
      <c r="V27" s="7">
        <v>412.69342041015625</v>
      </c>
      <c r="W27" s="7">
        <v>446.93896484375</v>
      </c>
      <c r="X27" s="7">
        <v>486.54251098632812</v>
      </c>
      <c r="Y27" s="7">
        <v>530.53704833984375</v>
      </c>
      <c r="Z27" s="7">
        <v>574.63226318359375</v>
      </c>
      <c r="AA27" s="7">
        <v>601.76397705078125</v>
      </c>
      <c r="AB27" s="7">
        <v>631.90087890625</v>
      </c>
      <c r="AC27" s="7">
        <v>668.43133544921875</v>
      </c>
      <c r="AD27" s="7">
        <v>707.7078857421875</v>
      </c>
      <c r="AE27" s="7">
        <v>720.88055419921875</v>
      </c>
      <c r="AF27" s="7">
        <v>753.5526123046875</v>
      </c>
      <c r="AG27" s="7">
        <v>794.4908447265625</v>
      </c>
      <c r="AH27" s="7">
        <v>838.555419921875</v>
      </c>
      <c r="AI27" s="7">
        <v>884.48004150390625</v>
      </c>
      <c r="AJ27" s="7">
        <v>927.15142822265625</v>
      </c>
      <c r="AK27" s="7">
        <v>965.931396484375</v>
      </c>
      <c r="AL27" s="7">
        <v>1015.353759765625</v>
      </c>
    </row>
    <row r="28" spans="1:49" x14ac:dyDescent="0.2">
      <c r="A28" s="1" t="s">
        <v>32</v>
      </c>
      <c r="B28" s="7">
        <v>2046.1497802734375</v>
      </c>
      <c r="C28" s="7">
        <v>2058.2177734375</v>
      </c>
      <c r="D28" s="7">
        <v>2071.428466796875</v>
      </c>
      <c r="E28" s="7">
        <v>2085.070068359375</v>
      </c>
      <c r="F28" s="7">
        <v>2099.84912109375</v>
      </c>
      <c r="G28" s="7">
        <v>2114.114501953125</v>
      </c>
      <c r="H28" s="7">
        <v>2124.93994140625</v>
      </c>
      <c r="I28" s="7">
        <v>2787.0126953125</v>
      </c>
      <c r="J28" s="7">
        <v>3022.0458984375</v>
      </c>
      <c r="K28" s="7">
        <v>2828.549560546875</v>
      </c>
      <c r="L28" s="7">
        <v>3739.24267578125</v>
      </c>
      <c r="M28" s="7">
        <v>3484.397216796875</v>
      </c>
      <c r="N28" s="7">
        <v>2897.170654296875</v>
      </c>
      <c r="O28" s="7">
        <v>2874.78173828125</v>
      </c>
      <c r="P28" s="7">
        <v>2326.42041015625</v>
      </c>
      <c r="Q28" s="7">
        <v>2119.31005859375</v>
      </c>
      <c r="R28" s="7">
        <v>2226.402099609375</v>
      </c>
      <c r="S28" s="7">
        <v>1945.3822021484375</v>
      </c>
      <c r="T28" s="7">
        <v>2053.3671875</v>
      </c>
      <c r="U28" s="7">
        <v>2357.640869140625</v>
      </c>
      <c r="V28" s="7">
        <v>2452.1123046875</v>
      </c>
      <c r="W28" s="7">
        <v>2524.606689453125</v>
      </c>
      <c r="X28" s="7">
        <v>2498.4765625</v>
      </c>
      <c r="Y28" s="7">
        <v>2549.843017578125</v>
      </c>
      <c r="Z28" s="7">
        <v>2646.937255859375</v>
      </c>
      <c r="AA28" s="7">
        <v>2956.385498046875</v>
      </c>
      <c r="AB28" s="7">
        <v>3242.134521484375</v>
      </c>
      <c r="AC28" s="7">
        <v>3559.423828125</v>
      </c>
      <c r="AD28" s="7">
        <v>4036.078369140625</v>
      </c>
      <c r="AE28" s="7">
        <v>4233.57763671875</v>
      </c>
      <c r="AF28" s="7">
        <v>4570.64208984375</v>
      </c>
      <c r="AG28" s="7">
        <v>5183.1650390625</v>
      </c>
      <c r="AH28" s="7">
        <v>5693.19140625</v>
      </c>
      <c r="AI28" s="7">
        <v>6202.46875</v>
      </c>
      <c r="AJ28" s="7">
        <v>6763.4072265625</v>
      </c>
      <c r="AK28" s="7">
        <v>7121.1328125</v>
      </c>
      <c r="AL28" s="7">
        <v>7477.03759765625</v>
      </c>
    </row>
    <row r="29" spans="1:49" x14ac:dyDescent="0.2">
      <c r="A29" s="1" t="s">
        <v>8</v>
      </c>
      <c r="B29" s="7">
        <v>3254.69921875</v>
      </c>
      <c r="C29" s="7">
        <v>3342.73291015625</v>
      </c>
      <c r="D29" s="7">
        <v>3435.052734375</v>
      </c>
      <c r="E29" s="7">
        <v>3528.9970703125</v>
      </c>
      <c r="F29" s="7">
        <v>3624.07470703125</v>
      </c>
      <c r="G29" s="7">
        <v>3723.332763671875</v>
      </c>
      <c r="H29" s="7">
        <v>3827.155517578125</v>
      </c>
      <c r="I29" s="7">
        <v>4026.46240234375</v>
      </c>
      <c r="J29" s="7">
        <v>4113.34765625</v>
      </c>
      <c r="K29" s="7">
        <v>4266.14794921875</v>
      </c>
      <c r="L29" s="7">
        <v>3986.101318359375</v>
      </c>
      <c r="M29" s="7">
        <v>3643.216552734375</v>
      </c>
      <c r="N29" s="7">
        <v>3281.058837890625</v>
      </c>
      <c r="O29" s="7">
        <v>2813.31201171875</v>
      </c>
      <c r="P29" s="7">
        <v>2178.575927734375</v>
      </c>
      <c r="Q29" s="7">
        <v>1927.35009765625</v>
      </c>
      <c r="R29" s="7">
        <v>1749.4422607421875</v>
      </c>
      <c r="S29" s="7">
        <v>1711.84912109375</v>
      </c>
      <c r="T29" s="7">
        <v>1693.788818359375</v>
      </c>
      <c r="U29" s="7">
        <v>1705.772705078125</v>
      </c>
      <c r="V29" s="7">
        <v>1824.0064697265625</v>
      </c>
      <c r="W29" s="7">
        <v>2012.073486328125</v>
      </c>
      <c r="X29" s="7">
        <v>2136.3505859375</v>
      </c>
      <c r="Y29" s="7">
        <v>2355.869384765625</v>
      </c>
      <c r="Z29" s="7">
        <v>2660.453369140625</v>
      </c>
      <c r="AA29" s="7">
        <v>2752.03857421875</v>
      </c>
      <c r="AB29" s="7">
        <v>2973.012451171875</v>
      </c>
      <c r="AC29" s="7">
        <v>3227.126953125</v>
      </c>
      <c r="AD29" s="7">
        <v>3319.317626953125</v>
      </c>
      <c r="AE29" s="7">
        <v>2840.66796875</v>
      </c>
      <c r="AF29" s="7">
        <v>2971.78466796875</v>
      </c>
      <c r="AG29" s="7">
        <v>3145.525146484375</v>
      </c>
      <c r="AH29" s="7">
        <v>3160.79443359375</v>
      </c>
      <c r="AI29" s="7">
        <v>3167.1162109375</v>
      </c>
      <c r="AJ29" s="7">
        <v>2988.872314453125</v>
      </c>
      <c r="AK29" s="7">
        <v>2727.993408203125</v>
      </c>
      <c r="AL29" s="7">
        <v>2804.816650390625</v>
      </c>
    </row>
    <row r="30" spans="1:49" x14ac:dyDescent="0.2">
      <c r="A30" s="1" t="s">
        <v>33</v>
      </c>
      <c r="B30" s="7">
        <v>804.18048095703125</v>
      </c>
      <c r="C30" s="7">
        <v>800.24322509765625</v>
      </c>
      <c r="D30" s="7">
        <v>795.7301025390625</v>
      </c>
      <c r="E30" s="7">
        <v>791.2376708984375</v>
      </c>
      <c r="F30" s="7">
        <v>786.52020263671875</v>
      </c>
      <c r="G30" s="7">
        <v>781.1519775390625</v>
      </c>
      <c r="H30" s="7">
        <v>775.70654296875</v>
      </c>
      <c r="I30" s="7">
        <v>925.08685302734375</v>
      </c>
      <c r="J30" s="7">
        <v>988.76434326171875</v>
      </c>
      <c r="K30" s="7">
        <v>998.5404052734375</v>
      </c>
      <c r="L30" s="7">
        <v>989.9635009765625</v>
      </c>
      <c r="M30" s="7">
        <v>960.35546875</v>
      </c>
      <c r="N30" s="7">
        <v>831.06414794921875</v>
      </c>
      <c r="O30" s="7">
        <v>792.9439697265625</v>
      </c>
      <c r="P30" s="7">
        <v>735.873779296875</v>
      </c>
      <c r="Q30" s="7">
        <v>714.5975341796875</v>
      </c>
      <c r="R30" s="7">
        <v>712.64154052734375</v>
      </c>
      <c r="S30" s="7">
        <v>736.2913818359375</v>
      </c>
      <c r="T30" s="7">
        <v>755.64453125</v>
      </c>
      <c r="U30" s="7">
        <v>776.6761474609375</v>
      </c>
      <c r="V30" s="7">
        <v>795.23504638671875</v>
      </c>
      <c r="W30" s="7">
        <v>817.83929443359375</v>
      </c>
      <c r="X30" s="7">
        <v>839.83056640625</v>
      </c>
      <c r="Y30" s="7">
        <v>865.14337158203125</v>
      </c>
      <c r="Z30" s="7">
        <v>921.9710693359375</v>
      </c>
      <c r="AA30" s="7">
        <v>976.4063720703125</v>
      </c>
      <c r="AB30" s="7">
        <v>1037.110595703125</v>
      </c>
      <c r="AC30" s="7">
        <v>1128.6876220703125</v>
      </c>
      <c r="AD30" s="7">
        <v>1218.3128662109375</v>
      </c>
      <c r="AE30" s="7">
        <v>1304.545654296875</v>
      </c>
      <c r="AF30" s="7">
        <v>1402.239013671875</v>
      </c>
      <c r="AG30" s="7">
        <v>1504.4332275390625</v>
      </c>
      <c r="AH30" s="7">
        <v>1612.5714111328125</v>
      </c>
      <c r="AI30" s="7">
        <v>1725.32568359375</v>
      </c>
      <c r="AJ30" s="7">
        <v>1842.5382080078125</v>
      </c>
      <c r="AK30" s="7">
        <v>1971.525634765625</v>
      </c>
      <c r="AL30" s="7">
        <v>2105.570556640625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55</vt:i4>
      </vt:variant>
    </vt:vector>
  </HeadingPairs>
  <TitlesOfParts>
    <vt:vector size="55" baseType="lpstr">
      <vt:lpstr>Index</vt:lpstr>
      <vt:lpstr>GINIposttax</vt:lpstr>
      <vt:lpstr>GINIpretax</vt:lpstr>
      <vt:lpstr>HHConsumption</vt:lpstr>
      <vt:lpstr>HDI</vt:lpstr>
      <vt:lpstr>IncomeShareTop1pct</vt:lpstr>
      <vt:lpstr>GDPSocialSpending</vt:lpstr>
      <vt:lpstr>PovertyRate</vt:lpstr>
      <vt:lpstr>RealGDP2010USD</vt:lpstr>
      <vt:lpstr>RealGDP2011USD</vt:lpstr>
      <vt:lpstr>RealGDPChina</vt:lpstr>
      <vt:lpstr>RealGDPDepression</vt:lpstr>
      <vt:lpstr>RealGDPVietnam</vt:lpstr>
      <vt:lpstr>ShadowEconomyMIMIC</vt:lpstr>
      <vt:lpstr>ShadowEconomyNIPA</vt:lpstr>
      <vt:lpstr>DeathRate</vt:lpstr>
      <vt:lpstr>FertilityRate</vt:lpstr>
      <vt:lpstr>AlcoholUse</vt:lpstr>
      <vt:lpstr>HistLifeExpectancy</vt:lpstr>
      <vt:lpstr>HomicideRate</vt:lpstr>
      <vt:lpstr>LifeExpectancy</vt:lpstr>
      <vt:lpstr>Migration</vt:lpstr>
      <vt:lpstr>HomicideNumber</vt:lpstr>
      <vt:lpstr>PopulationMPD</vt:lpstr>
      <vt:lpstr>PopulationWB</vt:lpstr>
      <vt:lpstr>CPI</vt:lpstr>
      <vt:lpstr>EconomyCBOS</vt:lpstr>
      <vt:lpstr>PoliticalSituationCBOS</vt:lpstr>
      <vt:lpstr>FamSituation</vt:lpstr>
      <vt:lpstr>FutureHousehold</vt:lpstr>
      <vt:lpstr>GovJob</vt:lpstr>
      <vt:lpstr>GovLivingStandard</vt:lpstr>
      <vt:lpstr>GovMaxIncome</vt:lpstr>
      <vt:lpstr>LackClothing</vt:lpstr>
      <vt:lpstr>LackFood</vt:lpstr>
      <vt:lpstr>LackHeating</vt:lpstr>
      <vt:lpstr>LifeSatisfactionEBRD</vt:lpstr>
      <vt:lpstr>LifeSatisfactionEB</vt:lpstr>
      <vt:lpstr>LifeSatisfactionPew</vt:lpstr>
      <vt:lpstr>LifeSatisfactionRLMS</vt:lpstr>
      <vt:lpstr>InequalityPerception</vt:lpstr>
      <vt:lpstr>ThingsGoingPew</vt:lpstr>
      <vt:lpstr>TrustEBRD</vt:lpstr>
      <vt:lpstr>TrustWVS</vt:lpstr>
      <vt:lpstr>DemocracyEBRD</vt:lpstr>
      <vt:lpstr>DemocracyEB</vt:lpstr>
      <vt:lpstr>DemocracyNEB</vt:lpstr>
      <vt:lpstr>DemocracyPew</vt:lpstr>
      <vt:lpstr>MarketsEBRD</vt:lpstr>
      <vt:lpstr>MarketsEB</vt:lpstr>
      <vt:lpstr>MarketsNEB</vt:lpstr>
      <vt:lpstr>MarketsPew</vt:lpstr>
      <vt:lpstr>SupportCommunism</vt:lpstr>
      <vt:lpstr>OrdinaryPew</vt:lpstr>
      <vt:lpstr>WorldHappinessRanking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Emery</dc:creator>
  <cp:lastModifiedBy>Nicholas Emery</cp:lastModifiedBy>
  <dcterms:created xsi:type="dcterms:W3CDTF">2021-03-23T00:40:19Z</dcterms:created>
  <dcterms:modified xsi:type="dcterms:W3CDTF">2021-03-26T23:37:17Z</dcterms:modified>
</cp:coreProperties>
</file>